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9270"/>
  </bookViews>
  <sheets>
    <sheet name="начислено ИУ" sheetId="3" r:id="rId1"/>
    <sheet name="начислено ПУ" sheetId="5" r:id="rId2"/>
    <sheet name="оплачено ПУ" sheetId="2" r:id="rId3"/>
  </sheets>
  <calcPr calcId="145621" refMode="R1C1"/>
</workbook>
</file>

<file path=xl/calcChain.xml><?xml version="1.0" encoding="utf-8"?>
<calcChain xmlns="http://schemas.openxmlformats.org/spreadsheetml/2006/main">
  <c r="E65" i="3" l="1"/>
  <c r="F65" i="3" s="1"/>
  <c r="D25" i="3"/>
  <c r="D60" i="3"/>
  <c r="D59" i="3" s="1"/>
  <c r="E59" i="3" s="1"/>
  <c r="F59" i="3" s="1"/>
  <c r="E62" i="3"/>
  <c r="F62" i="3" s="1"/>
  <c r="E61" i="3"/>
  <c r="F61" i="3" s="1"/>
  <c r="D54" i="3"/>
  <c r="E60" i="3" l="1"/>
  <c r="F60" i="3" s="1"/>
  <c r="D18" i="3"/>
  <c r="E15" i="3" l="1"/>
  <c r="F15" i="3" s="1"/>
  <c r="E16" i="3"/>
  <c r="F16" i="3" s="1"/>
  <c r="C17" i="2" l="1"/>
  <c r="C16" i="2"/>
  <c r="C7" i="2" l="1"/>
  <c r="C14" i="2"/>
  <c r="C12" i="2"/>
  <c r="C19" i="2" s="1"/>
  <c r="D19" i="2" s="1"/>
  <c r="C10" i="2"/>
  <c r="D10" i="2" s="1"/>
  <c r="C11" i="2"/>
  <c r="C9" i="2"/>
  <c r="C8" i="2"/>
  <c r="C6" i="2"/>
  <c r="C13" i="5"/>
  <c r="C12" i="5"/>
  <c r="C16" i="5" s="1"/>
  <c r="D16" i="5" s="1"/>
  <c r="C10" i="5"/>
  <c r="C11" i="5"/>
  <c r="C9" i="5"/>
  <c r="C8" i="5"/>
  <c r="C6" i="5"/>
  <c r="C7" i="5"/>
  <c r="D28" i="3" l="1"/>
  <c r="D21" i="3"/>
  <c r="D22" i="3" l="1"/>
  <c r="D14" i="2" l="1"/>
  <c r="D13" i="5"/>
  <c r="D10" i="5"/>
  <c r="D43" i="3" l="1"/>
  <c r="D45" i="3" s="1"/>
  <c r="D31" i="3"/>
  <c r="E12" i="3" l="1"/>
  <c r="F12" i="3" s="1"/>
  <c r="E13" i="3"/>
  <c r="F13" i="3" s="1"/>
  <c r="D32" i="3" l="1"/>
  <c r="D39" i="3" s="1"/>
  <c r="E27" i="3" l="1"/>
  <c r="F27" i="3" s="1"/>
  <c r="D24" i="3"/>
  <c r="D29" i="3" s="1"/>
  <c r="D14" i="3"/>
  <c r="D6" i="2" l="1"/>
  <c r="D7" i="2"/>
  <c r="D8" i="2"/>
  <c r="D9" i="2"/>
  <c r="D11" i="2"/>
  <c r="D12" i="2"/>
  <c r="D16" i="2"/>
  <c r="D17" i="2"/>
  <c r="D6" i="5"/>
  <c r="D7" i="5"/>
  <c r="D8" i="5"/>
  <c r="D9" i="5"/>
  <c r="D11" i="5"/>
  <c r="D12" i="5"/>
  <c r="D15" i="5"/>
  <c r="E40" i="3" l="1"/>
  <c r="F40" i="3" s="1"/>
  <c r="E17" i="3" l="1"/>
  <c r="F17" i="3" s="1"/>
  <c r="E38" i="3"/>
  <c r="F38" i="3" s="1"/>
  <c r="E11" i="3" l="1"/>
  <c r="F11" i="3" s="1"/>
  <c r="E35" i="3"/>
  <c r="F35" i="3" s="1"/>
  <c r="E44" i="3"/>
  <c r="F44" i="3" s="1"/>
  <c r="E37" i="3" l="1"/>
  <c r="F37" i="3" s="1"/>
  <c r="E14" i="3"/>
  <c r="F14" i="3" s="1"/>
  <c r="E36" i="3" l="1"/>
  <c r="F36" i="3" s="1"/>
  <c r="E28" i="3"/>
  <c r="F28" i="3" s="1"/>
  <c r="E18" i="3"/>
  <c r="F18" i="3" s="1"/>
  <c r="E26" i="3"/>
  <c r="F26" i="3" s="1"/>
  <c r="E33" i="3"/>
  <c r="F33" i="3" s="1"/>
  <c r="E46" i="3"/>
  <c r="F46" i="3" s="1"/>
  <c r="E47" i="3"/>
  <c r="F47" i="3" s="1"/>
  <c r="E54" i="3"/>
  <c r="F54" i="3" s="1"/>
  <c r="E55" i="3"/>
  <c r="F55" i="3" s="1"/>
  <c r="E56" i="3"/>
  <c r="F56" i="3" s="1"/>
  <c r="C5" i="5" l="1"/>
  <c r="C14" i="5" s="1"/>
  <c r="D14" i="5" l="1"/>
  <c r="C17" i="5"/>
  <c r="D5" i="5"/>
  <c r="C22" i="2"/>
  <c r="D22" i="2" s="1"/>
  <c r="D17" i="5" l="1"/>
  <c r="C23" i="2"/>
  <c r="D23" i="2" s="1"/>
  <c r="E41" i="3"/>
  <c r="F41" i="3" s="1"/>
  <c r="E25" i="3"/>
  <c r="F25" i="3" s="1"/>
  <c r="E32" i="3"/>
  <c r="F32" i="3" s="1"/>
  <c r="E24" i="3" l="1"/>
  <c r="F24" i="3" s="1"/>
  <c r="E29" i="3"/>
  <c r="F29" i="3" s="1"/>
  <c r="E45" i="3" l="1"/>
  <c r="F45" i="3" s="1"/>
  <c r="E43" i="3"/>
  <c r="F43" i="3" s="1"/>
  <c r="E39" i="3"/>
  <c r="F39" i="3" s="1"/>
  <c r="E31" i="3"/>
  <c r="F31" i="3" s="1"/>
  <c r="E22" i="3"/>
  <c r="F22" i="3" s="1"/>
  <c r="E48" i="3" l="1"/>
  <c r="F48" i="3" s="1"/>
  <c r="D53" i="3" l="1"/>
  <c r="E53" i="3" s="1"/>
  <c r="F53" i="3" s="1"/>
  <c r="D5" i="3"/>
  <c r="E21" i="3"/>
  <c r="F21" i="3" s="1"/>
  <c r="E19" i="3"/>
  <c r="F19" i="3" s="1"/>
  <c r="E20" i="3"/>
  <c r="F20" i="3" s="1"/>
  <c r="E10" i="3"/>
  <c r="F10" i="3" s="1"/>
  <c r="E8" i="3"/>
  <c r="F8" i="3" s="1"/>
  <c r="E7" i="3"/>
  <c r="F7" i="3" s="1"/>
  <c r="E6" i="3"/>
  <c r="F6" i="3" s="1"/>
  <c r="E5" i="3" l="1"/>
  <c r="F5" i="3" s="1"/>
  <c r="D42" i="3"/>
  <c r="E42" i="3" s="1"/>
  <c r="F42" i="3" s="1"/>
  <c r="D9" i="3" l="1"/>
  <c r="D30" i="3"/>
  <c r="E30" i="3" s="1"/>
  <c r="F30" i="3" s="1"/>
  <c r="D23" i="3"/>
  <c r="E23" i="3" s="1"/>
  <c r="F23" i="3" s="1"/>
  <c r="E9" i="3" l="1"/>
  <c r="F9" i="3" s="1"/>
  <c r="D51" i="3" l="1"/>
  <c r="E51" i="3" s="1"/>
  <c r="F51" i="3" s="1"/>
  <c r="C5" i="2"/>
  <c r="D5" i="2" s="1"/>
  <c r="C13" i="2" l="1"/>
  <c r="D13" i="2" l="1"/>
  <c r="C15" i="2"/>
  <c r="C18" i="2" l="1"/>
  <c r="D18" i="2" s="1"/>
  <c r="D15" i="2"/>
  <c r="D49" i="3" l="1"/>
  <c r="D50" i="3" s="1"/>
  <c r="E50" i="3" l="1"/>
  <c r="F50" i="3" s="1"/>
  <c r="E49" i="3"/>
  <c r="F49" i="3" s="1"/>
  <c r="D52" i="3"/>
  <c r="E52" i="3" l="1"/>
  <c r="F52" i="3" s="1"/>
  <c r="D57" i="3"/>
  <c r="E57" i="3" l="1"/>
  <c r="F57" i="3" s="1"/>
</calcChain>
</file>

<file path=xl/sharedStrings.xml><?xml version="1.0" encoding="utf-8"?>
<sst xmlns="http://schemas.openxmlformats.org/spreadsheetml/2006/main" count="170" uniqueCount="134">
  <si>
    <t>в том числе:</t>
  </si>
  <si>
    <t>Вид затрат</t>
  </si>
  <si>
    <t>наименование услуг</t>
  </si>
  <si>
    <t>№ п/п</t>
  </si>
  <si>
    <t>страхование лифтов</t>
  </si>
  <si>
    <t>Налог по системе УСН (1% от поступлений ден.ср-в, за исключением ср-в на вознагрждение УК)</t>
  </si>
  <si>
    <t>В среднем за 1 месяц</t>
  </si>
  <si>
    <t>т/о домофонной системы</t>
  </si>
  <si>
    <t>всего получено за все услуги</t>
  </si>
  <si>
    <t>техническое освидетельствование</t>
  </si>
  <si>
    <t>Работы по содержанию оборудования и систем инженерно-технического обеспечения</t>
  </si>
  <si>
    <t>налоги с оплаты труда</t>
  </si>
  <si>
    <t>Работы по содержанию несущих и ненесущих конструкций</t>
  </si>
  <si>
    <t>1.1</t>
  </si>
  <si>
    <t>1.2</t>
  </si>
  <si>
    <t>2.1</t>
  </si>
  <si>
    <t>2.2</t>
  </si>
  <si>
    <t>2.3</t>
  </si>
  <si>
    <t>2.4</t>
  </si>
  <si>
    <t>3.3</t>
  </si>
  <si>
    <t>3.4</t>
  </si>
  <si>
    <t>4.1</t>
  </si>
  <si>
    <t>4.2</t>
  </si>
  <si>
    <t>4.3</t>
  </si>
  <si>
    <t>4.4</t>
  </si>
  <si>
    <t>4.5</t>
  </si>
  <si>
    <t>4.7</t>
  </si>
  <si>
    <t>Работы по содержанию помещений, входящих в состав МКД</t>
  </si>
  <si>
    <t>5.1</t>
  </si>
  <si>
    <t>5.2</t>
  </si>
  <si>
    <t>5.4</t>
  </si>
  <si>
    <t>Работы по содержанию земельного участка с элементами благоустройства</t>
  </si>
  <si>
    <t>Проведение дератизации и дезинсекции</t>
  </si>
  <si>
    <t>Итого всех затрат по дому</t>
  </si>
  <si>
    <t>Начислено поставщикам коммунальных услуг</t>
  </si>
  <si>
    <t>Куйбышева, 5</t>
  </si>
  <si>
    <t>1.3</t>
  </si>
  <si>
    <t>1.4</t>
  </si>
  <si>
    <t>2.5</t>
  </si>
  <si>
    <t>12.1</t>
  </si>
  <si>
    <t>12.2</t>
  </si>
  <si>
    <t>12.3</t>
  </si>
  <si>
    <t>посадочный материал</t>
  </si>
  <si>
    <t>1.5</t>
  </si>
  <si>
    <t>на 1 кв.м. в месяц</t>
  </si>
  <si>
    <t>2.6</t>
  </si>
  <si>
    <t>2.7</t>
  </si>
  <si>
    <t>расходные уборочные материалы</t>
  </si>
  <si>
    <t>магнитные ключи</t>
  </si>
  <si>
    <t>начислено поставщикам (исполнителям услуг)</t>
  </si>
  <si>
    <t>оплачено заказчиками (потребителям услуг)</t>
  </si>
  <si>
    <t>начислено заказчикам (потребителям услуг)</t>
  </si>
  <si>
    <t>20 процентов от суммы поступлений от собственников за техническое содержание</t>
  </si>
  <si>
    <t>Содержание и ремонт лифтов</t>
  </si>
  <si>
    <t>техническое и аварийное обслуживание</t>
  </si>
  <si>
    <t>работы по надлежащему содержанию электрооборудования</t>
  </si>
  <si>
    <t>работы по надлежащему содержаню системы водоснабжения, отопления и водоотведения</t>
  </si>
  <si>
    <t>работы по контролю за работой оборудования и систем ИТО</t>
  </si>
  <si>
    <t>контроль и проверка состояния конструктивных элементов</t>
  </si>
  <si>
    <t>работы по уборке помещений, входящих в состав общего имущества</t>
  </si>
  <si>
    <t>работы по содержанию помещений, входящих в состав общего имущества</t>
  </si>
  <si>
    <t>уборка придомовой территории</t>
  </si>
  <si>
    <t>холодное водоснабжение</t>
  </si>
  <si>
    <t>водоотведение</t>
  </si>
  <si>
    <t>электропотребление</t>
  </si>
  <si>
    <t>электропотребление МОП, потери</t>
  </si>
  <si>
    <t>холодное водоснабжение МОП</t>
  </si>
  <si>
    <t>расчет затрат на управление</t>
  </si>
  <si>
    <t>всего затраты на управление</t>
  </si>
  <si>
    <t>работа по замене светильников</t>
  </si>
  <si>
    <t>2.9</t>
  </si>
  <si>
    <t>2.10</t>
  </si>
  <si>
    <t>3.1</t>
  </si>
  <si>
    <t>3.2</t>
  </si>
  <si>
    <t>3.5</t>
  </si>
  <si>
    <t>4.8</t>
  </si>
  <si>
    <t>4.9</t>
  </si>
  <si>
    <t>электротовары (лампы светодиодные, люминисцентные)</t>
  </si>
  <si>
    <t>2.11</t>
  </si>
  <si>
    <t>материалы по косметическому ремонту в доме</t>
  </si>
  <si>
    <t>4.6</t>
  </si>
  <si>
    <t>4.10</t>
  </si>
  <si>
    <t>пеня</t>
  </si>
  <si>
    <t>7.1</t>
  </si>
  <si>
    <t>всего начислено за коммунальные услуги</t>
  </si>
  <si>
    <t>всего получено за коммунальные услуги</t>
  </si>
  <si>
    <t>расходы 2017</t>
  </si>
  <si>
    <t>Сумма за год, руб.</t>
  </si>
  <si>
    <t>доходы 2017</t>
  </si>
  <si>
    <t>оплачено за год, руб.</t>
  </si>
  <si>
    <t>расходные слесарные материалы (доводчик, стремянка, замки, личинки к замкам)</t>
  </si>
  <si>
    <t>электротовары (замена светильников)</t>
  </si>
  <si>
    <t>прочие электротовары (трансформатор тока и пр.)</t>
  </si>
  <si>
    <t>т/о системы видеонаблюдения</t>
  </si>
  <si>
    <t>установка системы видеонаблюдения (в пределах доп.сметы)</t>
  </si>
  <si>
    <t>установка системы видеонаблюдения (доп. затраты в счет основной сметы)</t>
  </si>
  <si>
    <t>регламентная замена входного счетичка воды (материалы, согласование)</t>
  </si>
  <si>
    <r>
      <rPr>
        <sz val="12"/>
        <rFont val="Courier New"/>
        <family val="3"/>
        <charset val="204"/>
      </rPr>
      <t>работы по косметическому ремонту в доме</t>
    </r>
    <r>
      <rPr>
        <sz val="10"/>
        <rFont val="Courier New"/>
        <family val="3"/>
        <charset val="204"/>
      </rPr>
      <t xml:space="preserve"> (сплошная покраска стен и потолка входной лестничной группы 1 и 2 подъезда, стен холлов 1 этажа 1 и 2 подъезда, стен холлов 1 подъезда 2, 3, 4, 5, 6 этажей, 2 подъезда 2 этажа, стен лифтовых холлов 1 подъезда 3, 4, 5 этажей, 2 подъезда 2 этажа, локальная покраска стен лестничного марша 5/6 этажа 1 подъезда, 1/2 этажа 2 подъезда, потолка холлов 1 этажа 1 и 2 подъездов, лифтового холла 2 подъезда 2 этажа, штучная замена плитки на полу 2, 4, 6 этажей 2 подъезда) </t>
    </r>
  </si>
  <si>
    <t>работы по переустройству и установке доп.камеры видеонаблюдения</t>
  </si>
  <si>
    <t>регламентная замена входного электросчетчика и трансформаторов тока в ТП)</t>
  </si>
  <si>
    <t>замена металлопластикового окна на чердаке</t>
  </si>
  <si>
    <t>гидроизоляция козырька (северный торец здания)</t>
  </si>
  <si>
    <t>прочистка канализационных труб при засоре, откачка сточных вод с подвала, обследование труб</t>
  </si>
  <si>
    <t>водоотведение СОИ</t>
  </si>
  <si>
    <t>всего за все услуги</t>
  </si>
  <si>
    <t>всего начислено за все услуги с пеней</t>
  </si>
  <si>
    <t>итого за все услуги</t>
  </si>
  <si>
    <t>Сверхнормативное потребление электроэнергии</t>
  </si>
  <si>
    <t>2.8</t>
  </si>
  <si>
    <t>2.12</t>
  </si>
  <si>
    <t>3.6</t>
  </si>
  <si>
    <t>4.11</t>
  </si>
  <si>
    <t>5.3</t>
  </si>
  <si>
    <t>ИТОГО РАСХОДЫ НА СОДЕРЖАНИЕ</t>
  </si>
  <si>
    <t>ИТОГО РАСХОДЫ НА СОДЕРЖАНИЕ БЕЗ РАСХОДОВ НА УПРАВЛЕНИЕ</t>
  </si>
  <si>
    <t>содержание</t>
  </si>
  <si>
    <t>всего получено за содержание и коммунальные услуги</t>
  </si>
  <si>
    <t>разница в авансах 01.01.17-01.01.18</t>
  </si>
  <si>
    <t>1.6</t>
  </si>
  <si>
    <t>доп.услуги (установка  системы видеонаблюдения)</t>
  </si>
  <si>
    <t>доп.услуги (установка системы видеонаблюдения)</t>
  </si>
  <si>
    <t>электропотребление СОИ</t>
  </si>
  <si>
    <t>холодное водоснабжение СОИ</t>
  </si>
  <si>
    <t>всего за содержание и доп.услуги</t>
  </si>
  <si>
    <t>всего начислено за содержание и доп.услуги</t>
  </si>
  <si>
    <t>энергоаудит</t>
  </si>
  <si>
    <t>документы согласований с МУП Водоканал</t>
  </si>
  <si>
    <t>2.13</t>
  </si>
  <si>
    <t>электропотребление (за минусом свернорматива)</t>
  </si>
  <si>
    <t>справочно:</t>
  </si>
  <si>
    <t>Расходы на управление (20% от суммы поступлений за оплату содержания)</t>
  </si>
  <si>
    <t>дополнительные расходы</t>
  </si>
  <si>
    <t>спецодежда уборщиц</t>
  </si>
  <si>
    <t>содержание придомовой территории и зеленых насаждений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</si>
</sst>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Courier New"/>
      <family val="3"/>
      <charset val="204"/>
    </font>
    <font>
      <sz val="12"/>
      <name val="Courier New"/>
      <family val="3"/>
      <charset val="204"/>
    </font>
    <font>
      <b/>
      <i/>
      <sz val="12"/>
      <name val="Courier New"/>
      <family val="3"/>
      <charset val="204"/>
    </font>
    <font>
      <sz val="12"/>
      <color theme="1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i/>
      <sz val="12"/>
      <name val="Courier New"/>
      <family val="3"/>
      <charset val="204"/>
    </font>
    <font>
      <sz val="1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1" applyNumberFormat="1" applyFont="1" applyFill="1" applyBorder="1" applyAlignment="1">
      <alignment horizontal="left" vertical="top" wrapText="1"/>
    </xf>
    <xf numFmtId="0" fontId="3" fillId="0" borderId="3" xfId="1" applyNumberFormat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6" fillId="0" borderId="1" xfId="0" applyNumberFormat="1" applyFont="1" applyBorder="1"/>
    <xf numFmtId="164" fontId="5" fillId="0" borderId="0" xfId="0" applyNumberFormat="1" applyFont="1"/>
    <xf numFmtId="164" fontId="3" fillId="0" borderId="0" xfId="0" applyNumberFormat="1" applyFont="1" applyFill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wrapText="1"/>
    </xf>
    <xf numFmtId="164" fontId="5" fillId="0" borderId="5" xfId="0" applyNumberFormat="1" applyFont="1" applyBorder="1"/>
    <xf numFmtId="0" fontId="3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/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164" fontId="5" fillId="0" borderId="6" xfId="0" applyNumberFormat="1" applyFont="1" applyBorder="1"/>
    <xf numFmtId="0" fontId="6" fillId="0" borderId="7" xfId="0" applyFont="1" applyBorder="1" applyAlignment="1">
      <alignment wrapText="1"/>
    </xf>
    <xf numFmtId="164" fontId="6" fillId="0" borderId="8" xfId="0" applyNumberFormat="1" applyFont="1" applyBorder="1"/>
    <xf numFmtId="164" fontId="6" fillId="0" borderId="6" xfId="0" applyNumberFormat="1" applyFont="1" applyBorder="1"/>
    <xf numFmtId="165" fontId="5" fillId="0" borderId="3" xfId="0" applyNumberFormat="1" applyFont="1" applyBorder="1"/>
    <xf numFmtId="0" fontId="5" fillId="0" borderId="2" xfId="0" applyFont="1" applyBorder="1" applyAlignment="1">
      <alignment wrapText="1"/>
    </xf>
    <xf numFmtId="164" fontId="6" fillId="0" borderId="9" xfId="0" applyNumberFormat="1" applyFont="1" applyBorder="1"/>
    <xf numFmtId="164" fontId="5" fillId="0" borderId="8" xfId="0" applyNumberFormat="1" applyFont="1" applyBorder="1"/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/>
    <xf numFmtId="165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horizontal="center" wrapText="1"/>
    </xf>
    <xf numFmtId="0" fontId="2" fillId="0" borderId="4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4" fillId="0" borderId="1" xfId="1" applyNumberFormat="1" applyFont="1" applyFill="1" applyBorder="1" applyAlignment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G1" sqref="G1"/>
    </sheetView>
  </sheetViews>
  <sheetFormatPr defaultRowHeight="15.75" x14ac:dyDescent="0.25"/>
  <cols>
    <col min="1" max="1" width="7.7109375" style="1" customWidth="1"/>
    <col min="2" max="2" width="6.7109375" style="2" customWidth="1"/>
    <col min="3" max="3" width="60.7109375" style="2" customWidth="1"/>
    <col min="4" max="4" width="18.7109375" style="21" customWidth="1"/>
    <col min="5" max="5" width="16.7109375" style="21" customWidth="1"/>
    <col min="6" max="6" width="12.7109375" style="36" bestFit="1" customWidth="1"/>
    <col min="7" max="16384" width="9.140625" style="2"/>
  </cols>
  <sheetData>
    <row r="1" spans="1:6" ht="16.5" customHeight="1" x14ac:dyDescent="0.3">
      <c r="A1" s="58" t="s">
        <v>86</v>
      </c>
      <c r="B1" s="58"/>
      <c r="C1" s="58"/>
      <c r="D1" s="58"/>
      <c r="E1" s="58"/>
      <c r="F1" s="58"/>
    </row>
    <row r="2" spans="1:6" ht="16.5" customHeight="1" x14ac:dyDescent="0.3">
      <c r="A2" s="60" t="s">
        <v>35</v>
      </c>
      <c r="B2" s="60"/>
      <c r="C2" s="60"/>
      <c r="D2" s="60"/>
      <c r="E2" s="60"/>
      <c r="F2" s="60"/>
    </row>
    <row r="3" spans="1:6" ht="16.5" x14ac:dyDescent="0.3">
      <c r="A3" s="59" t="s">
        <v>49</v>
      </c>
      <c r="B3" s="59"/>
      <c r="C3" s="59"/>
      <c r="D3" s="59"/>
      <c r="E3" s="59"/>
      <c r="F3" s="59"/>
    </row>
    <row r="4" spans="1:6" s="5" customFormat="1" ht="47.25" x14ac:dyDescent="0.25">
      <c r="A4" s="4" t="s">
        <v>3</v>
      </c>
      <c r="B4" s="64" t="s">
        <v>1</v>
      </c>
      <c r="C4" s="64"/>
      <c r="D4" s="24" t="s">
        <v>87</v>
      </c>
      <c r="E4" s="25" t="s">
        <v>6</v>
      </c>
      <c r="F4" s="37" t="s">
        <v>44</v>
      </c>
    </row>
    <row r="5" spans="1:6" ht="16.5" x14ac:dyDescent="0.25">
      <c r="A5" s="22">
        <v>1</v>
      </c>
      <c r="B5" s="61" t="s">
        <v>53</v>
      </c>
      <c r="C5" s="61"/>
      <c r="D5" s="26">
        <f>SUM(D6:D8)</f>
        <v>163575</v>
      </c>
      <c r="E5" s="29">
        <f t="shared" ref="E5:E57" si="0">D5/12</f>
        <v>13631.25</v>
      </c>
      <c r="F5" s="38">
        <f>E5/5937</f>
        <v>2.2959828196058614</v>
      </c>
    </row>
    <row r="6" spans="1:6" ht="16.5" x14ac:dyDescent="0.25">
      <c r="A6" s="34" t="s">
        <v>13</v>
      </c>
      <c r="B6" s="6"/>
      <c r="C6" s="7" t="s">
        <v>54</v>
      </c>
      <c r="D6" s="27">
        <v>144000</v>
      </c>
      <c r="E6" s="29">
        <f t="shared" si="0"/>
        <v>12000</v>
      </c>
      <c r="F6" s="38">
        <f t="shared" ref="F6:F57" si="1">E6/5937</f>
        <v>2.02122283981809</v>
      </c>
    </row>
    <row r="7" spans="1:6" ht="16.5" x14ac:dyDescent="0.25">
      <c r="A7" s="34" t="s">
        <v>36</v>
      </c>
      <c r="B7" s="6"/>
      <c r="C7" s="7" t="s">
        <v>9</v>
      </c>
      <c r="D7" s="27">
        <v>19000</v>
      </c>
      <c r="E7" s="29">
        <f t="shared" si="0"/>
        <v>1583.3333333333333</v>
      </c>
      <c r="F7" s="38">
        <f t="shared" si="1"/>
        <v>0.2666891246982202</v>
      </c>
    </row>
    <row r="8" spans="1:6" ht="16.5" x14ac:dyDescent="0.25">
      <c r="A8" s="34" t="s">
        <v>37</v>
      </c>
      <c r="B8" s="6"/>
      <c r="C8" s="7" t="s">
        <v>4</v>
      </c>
      <c r="D8" s="27">
        <v>575</v>
      </c>
      <c r="E8" s="29">
        <f t="shared" si="0"/>
        <v>47.916666666666664</v>
      </c>
      <c r="F8" s="38">
        <f t="shared" si="1"/>
        <v>8.0708550895514011E-3</v>
      </c>
    </row>
    <row r="9" spans="1:6" ht="33" customHeight="1" x14ac:dyDescent="0.25">
      <c r="A9" s="22">
        <v>2</v>
      </c>
      <c r="B9" s="61" t="s">
        <v>10</v>
      </c>
      <c r="C9" s="61"/>
      <c r="D9" s="26">
        <f>SUM(D10:D22)</f>
        <v>405596.96408799995</v>
      </c>
      <c r="E9" s="29">
        <f t="shared" si="0"/>
        <v>33799.747007333332</v>
      </c>
      <c r="F9" s="38">
        <f t="shared" si="1"/>
        <v>5.6930683859412721</v>
      </c>
    </row>
    <row r="10" spans="1:6" ht="16.5" x14ac:dyDescent="0.25">
      <c r="A10" s="34" t="s">
        <v>15</v>
      </c>
      <c r="B10" s="6"/>
      <c r="C10" s="7" t="s">
        <v>7</v>
      </c>
      <c r="D10" s="27">
        <v>54000</v>
      </c>
      <c r="E10" s="29">
        <f t="shared" si="0"/>
        <v>4500</v>
      </c>
      <c r="F10" s="38">
        <f t="shared" si="1"/>
        <v>0.75795856493178371</v>
      </c>
    </row>
    <row r="11" spans="1:6" ht="16.5" x14ac:dyDescent="0.25">
      <c r="A11" s="34" t="s">
        <v>16</v>
      </c>
      <c r="B11" s="6"/>
      <c r="C11" s="7" t="s">
        <v>93</v>
      </c>
      <c r="D11" s="27">
        <v>10000</v>
      </c>
      <c r="E11" s="29">
        <f t="shared" si="0"/>
        <v>833.33333333333337</v>
      </c>
      <c r="F11" s="38">
        <f t="shared" si="1"/>
        <v>0.14036269720958958</v>
      </c>
    </row>
    <row r="12" spans="1:6" ht="31.5" x14ac:dyDescent="0.25">
      <c r="A12" s="34" t="s">
        <v>17</v>
      </c>
      <c r="B12" s="6"/>
      <c r="C12" s="7" t="s">
        <v>95</v>
      </c>
      <c r="D12" s="27">
        <v>18133</v>
      </c>
      <c r="E12" s="29">
        <f t="shared" ref="E12:E13" si="2">D12/12</f>
        <v>1511.0833333333333</v>
      </c>
      <c r="F12" s="38">
        <f t="shared" ref="F12:F13" si="3">E12/5937</f>
        <v>0.25451967885014876</v>
      </c>
    </row>
    <row r="13" spans="1:6" ht="31.5" x14ac:dyDescent="0.25">
      <c r="A13" s="34" t="s">
        <v>18</v>
      </c>
      <c r="B13" s="6"/>
      <c r="C13" s="7" t="s">
        <v>98</v>
      </c>
      <c r="D13" s="27">
        <v>1725</v>
      </c>
      <c r="E13" s="29">
        <f t="shared" si="2"/>
        <v>143.75</v>
      </c>
      <c r="F13" s="38">
        <f t="shared" si="3"/>
        <v>2.4212565268654201E-2</v>
      </c>
    </row>
    <row r="14" spans="1:6" ht="47.25" x14ac:dyDescent="0.25">
      <c r="A14" s="34" t="s">
        <v>38</v>
      </c>
      <c r="B14" s="6"/>
      <c r="C14" s="7" t="s">
        <v>102</v>
      </c>
      <c r="D14" s="27">
        <f>26000+45000</f>
        <v>71000</v>
      </c>
      <c r="E14" s="29">
        <f t="shared" si="0"/>
        <v>5916.666666666667</v>
      </c>
      <c r="F14" s="38">
        <f t="shared" si="1"/>
        <v>0.99657515018808607</v>
      </c>
    </row>
    <row r="15" spans="1:6" ht="16.5" x14ac:dyDescent="0.25">
      <c r="A15" s="34" t="s">
        <v>45</v>
      </c>
      <c r="B15" s="6"/>
      <c r="C15" s="7" t="s">
        <v>125</v>
      </c>
      <c r="D15" s="27">
        <v>5940</v>
      </c>
      <c r="E15" s="29">
        <f t="shared" ref="E15:E16" si="4">D15/12</f>
        <v>495</v>
      </c>
      <c r="F15" s="38">
        <f t="shared" ref="F15:F16" si="5">E15/5937</f>
        <v>8.3375442142496203E-2</v>
      </c>
    </row>
    <row r="16" spans="1:6" ht="16.5" x14ac:dyDescent="0.25">
      <c r="A16" s="34" t="s">
        <v>46</v>
      </c>
      <c r="B16" s="6"/>
      <c r="C16" s="7" t="s">
        <v>126</v>
      </c>
      <c r="D16" s="27">
        <v>3608</v>
      </c>
      <c r="E16" s="29">
        <f t="shared" si="4"/>
        <v>300.66666666666669</v>
      </c>
      <c r="F16" s="38">
        <f t="shared" si="5"/>
        <v>5.064286115321992E-2</v>
      </c>
    </row>
    <row r="17" spans="1:6" ht="47.25" x14ac:dyDescent="0.25">
      <c r="A17" s="34" t="s">
        <v>108</v>
      </c>
      <c r="B17" s="6"/>
      <c r="C17" s="7" t="s">
        <v>99</v>
      </c>
      <c r="D17" s="27">
        <v>5750</v>
      </c>
      <c r="E17" s="29">
        <f t="shared" ref="E17" si="6">D17/12</f>
        <v>479.16666666666669</v>
      </c>
      <c r="F17" s="38">
        <f>E17/5937</f>
        <v>8.0708550895514014E-2</v>
      </c>
    </row>
    <row r="18" spans="1:6" ht="31.5" x14ac:dyDescent="0.25">
      <c r="A18" s="34" t="s">
        <v>70</v>
      </c>
      <c r="B18" s="6"/>
      <c r="C18" s="7" t="s">
        <v>96</v>
      </c>
      <c r="D18" s="27">
        <f>5828+1372+293</f>
        <v>7493</v>
      </c>
      <c r="E18" s="29">
        <f>D18/12</f>
        <v>624.41666666666663</v>
      </c>
      <c r="F18" s="38">
        <f>E18/5937</f>
        <v>0.10517376901914546</v>
      </c>
    </row>
    <row r="19" spans="1:6" ht="31.5" x14ac:dyDescent="0.25">
      <c r="A19" s="34" t="s">
        <v>71</v>
      </c>
      <c r="B19" s="6"/>
      <c r="C19" s="7" t="s">
        <v>55</v>
      </c>
      <c r="D19" s="27">
        <v>47672</v>
      </c>
      <c r="E19" s="29">
        <f>D19/12</f>
        <v>3972.6666666666665</v>
      </c>
      <c r="F19" s="38">
        <f t="shared" si="1"/>
        <v>0.66913705013755542</v>
      </c>
    </row>
    <row r="20" spans="1:6" ht="31.5" x14ac:dyDescent="0.25">
      <c r="A20" s="34" t="s">
        <v>78</v>
      </c>
      <c r="B20" s="6"/>
      <c r="C20" s="7" t="s">
        <v>56</v>
      </c>
      <c r="D20" s="27">
        <v>47672</v>
      </c>
      <c r="E20" s="29">
        <f>D20/12</f>
        <v>3972.6666666666665</v>
      </c>
      <c r="F20" s="38">
        <f t="shared" si="1"/>
        <v>0.66913705013755542</v>
      </c>
    </row>
    <row r="21" spans="1:6" ht="31.5" x14ac:dyDescent="0.25">
      <c r="A21" s="34" t="s">
        <v>109</v>
      </c>
      <c r="B21" s="6"/>
      <c r="C21" s="7" t="s">
        <v>57</v>
      </c>
      <c r="D21" s="27">
        <f>122471*0.6</f>
        <v>73482.599999999991</v>
      </c>
      <c r="E21" s="29">
        <f t="shared" si="0"/>
        <v>6123.5499999999993</v>
      </c>
      <c r="F21" s="38">
        <f t="shared" si="1"/>
        <v>1.0314215933973385</v>
      </c>
    </row>
    <row r="22" spans="1:6" ht="16.5" x14ac:dyDescent="0.25">
      <c r="A22" s="34" t="s">
        <v>127</v>
      </c>
      <c r="B22" s="6"/>
      <c r="C22" s="7" t="s">
        <v>11</v>
      </c>
      <c r="D22" s="27">
        <f>D13*0.273+D19*0.365927+D20*0.365927+D21*0.302+D17*0.273</f>
        <v>59121.364087999995</v>
      </c>
      <c r="E22" s="29">
        <f t="shared" si="0"/>
        <v>4926.7803406666662</v>
      </c>
      <c r="F22" s="38">
        <f t="shared" si="1"/>
        <v>0.82984341261018468</v>
      </c>
    </row>
    <row r="23" spans="1:6" ht="33.75" customHeight="1" x14ac:dyDescent="0.25">
      <c r="A23" s="22">
        <v>3</v>
      </c>
      <c r="B23" s="61" t="s">
        <v>12</v>
      </c>
      <c r="C23" s="61"/>
      <c r="D23" s="26">
        <f>SUM(D24:D29)</f>
        <v>236766.85680000001</v>
      </c>
      <c r="E23" s="29">
        <f t="shared" si="0"/>
        <v>19730.571400000001</v>
      </c>
      <c r="F23" s="38">
        <f t="shared" si="1"/>
        <v>3.3233234630284656</v>
      </c>
    </row>
    <row r="24" spans="1:6" ht="150.75" x14ac:dyDescent="0.25">
      <c r="A24" s="34" t="s">
        <v>72</v>
      </c>
      <c r="B24" s="6"/>
      <c r="C24" s="39" t="s">
        <v>97</v>
      </c>
      <c r="D24" s="27">
        <f>4140+35030+43050+300</f>
        <v>82520</v>
      </c>
      <c r="E24" s="29">
        <f t="shared" si="0"/>
        <v>6876.666666666667</v>
      </c>
      <c r="F24" s="38">
        <f t="shared" si="1"/>
        <v>1.1582729773735332</v>
      </c>
    </row>
    <row r="25" spans="1:6" ht="31.5" x14ac:dyDescent="0.25">
      <c r="A25" s="34" t="s">
        <v>73</v>
      </c>
      <c r="B25" s="6"/>
      <c r="C25" s="7" t="s">
        <v>79</v>
      </c>
      <c r="D25" s="27">
        <f>31701+1</f>
        <v>31702</v>
      </c>
      <c r="E25" s="29">
        <f t="shared" si="0"/>
        <v>2641.8333333333335</v>
      </c>
      <c r="F25" s="38">
        <f t="shared" si="1"/>
        <v>0.4449778226938409</v>
      </c>
    </row>
    <row r="26" spans="1:6" ht="31.5" x14ac:dyDescent="0.25">
      <c r="A26" s="34" t="s">
        <v>19</v>
      </c>
      <c r="B26" s="6"/>
      <c r="C26" s="7" t="s">
        <v>101</v>
      </c>
      <c r="D26" s="27">
        <v>31864</v>
      </c>
      <c r="E26" s="29">
        <f>D26/12</f>
        <v>2655.3333333333335</v>
      </c>
      <c r="F26" s="38">
        <f>E26/5937</f>
        <v>0.44725169838863627</v>
      </c>
    </row>
    <row r="27" spans="1:6" ht="31.5" x14ac:dyDescent="0.25">
      <c r="A27" s="34" t="s">
        <v>20</v>
      </c>
      <c r="B27" s="6"/>
      <c r="C27" s="7" t="s">
        <v>100</v>
      </c>
      <c r="D27" s="27">
        <v>4370</v>
      </c>
      <c r="E27" s="29">
        <f t="shared" ref="E27" si="7">D27/12</f>
        <v>364.16666666666669</v>
      </c>
      <c r="F27" s="38">
        <f t="shared" ref="F27" si="8">E27/5937</f>
        <v>6.1338498680590652E-2</v>
      </c>
    </row>
    <row r="28" spans="1:6" ht="31.5" x14ac:dyDescent="0.25">
      <c r="A28" s="34" t="s">
        <v>74</v>
      </c>
      <c r="B28" s="6"/>
      <c r="C28" s="7" t="s">
        <v>58</v>
      </c>
      <c r="D28" s="27">
        <f>122471*0.4</f>
        <v>48988.4</v>
      </c>
      <c r="E28" s="29">
        <f t="shared" si="0"/>
        <v>4082.3666666666668</v>
      </c>
      <c r="F28" s="38">
        <f t="shared" si="1"/>
        <v>0.68761439559822579</v>
      </c>
    </row>
    <row r="29" spans="1:6" ht="16.5" x14ac:dyDescent="0.25">
      <c r="A29" s="34" t="s">
        <v>110</v>
      </c>
      <c r="B29" s="6"/>
      <c r="C29" s="7" t="s">
        <v>11</v>
      </c>
      <c r="D29" s="27">
        <f>D24*0.273+D28*0.302</f>
        <v>37322.4568</v>
      </c>
      <c r="E29" s="29">
        <f t="shared" si="0"/>
        <v>3110.2047333333335</v>
      </c>
      <c r="F29" s="38">
        <f t="shared" si="1"/>
        <v>0.5238680702936388</v>
      </c>
    </row>
    <row r="30" spans="1:6" ht="33" customHeight="1" x14ac:dyDescent="0.25">
      <c r="A30" s="22">
        <v>4</v>
      </c>
      <c r="B30" s="61" t="s">
        <v>27</v>
      </c>
      <c r="C30" s="61"/>
      <c r="D30" s="26">
        <f>SUM(D31:D41)</f>
        <v>480935.34662560007</v>
      </c>
      <c r="E30" s="29">
        <f t="shared" si="0"/>
        <v>40077.945552133337</v>
      </c>
      <c r="F30" s="38">
        <f t="shared" si="1"/>
        <v>6.7505382435798111</v>
      </c>
    </row>
    <row r="31" spans="1:6" ht="31.5" x14ac:dyDescent="0.25">
      <c r="A31" s="34" t="s">
        <v>21</v>
      </c>
      <c r="B31" s="6"/>
      <c r="C31" s="7" t="s">
        <v>59</v>
      </c>
      <c r="D31" s="27">
        <f>287366*0.8</f>
        <v>229892.80000000002</v>
      </c>
      <c r="E31" s="29">
        <f t="shared" si="0"/>
        <v>19157.733333333334</v>
      </c>
      <c r="F31" s="38">
        <f t="shared" si="1"/>
        <v>3.2268373477064736</v>
      </c>
    </row>
    <row r="32" spans="1:6" ht="31.5" x14ac:dyDescent="0.25">
      <c r="A32" s="34" t="s">
        <v>22</v>
      </c>
      <c r="B32" s="6"/>
      <c r="C32" s="7" t="s">
        <v>60</v>
      </c>
      <c r="D32" s="27">
        <f>68957</f>
        <v>68957</v>
      </c>
      <c r="E32" s="29">
        <f t="shared" si="0"/>
        <v>5746.416666666667</v>
      </c>
      <c r="F32" s="38">
        <f t="shared" si="1"/>
        <v>0.96789905114816688</v>
      </c>
    </row>
    <row r="33" spans="1:6" ht="16.5" x14ac:dyDescent="0.25">
      <c r="A33" s="34" t="s">
        <v>23</v>
      </c>
      <c r="B33" s="6"/>
      <c r="C33" s="7" t="s">
        <v>47</v>
      </c>
      <c r="D33" s="27">
        <v>9878</v>
      </c>
      <c r="E33" s="29">
        <f t="shared" si="0"/>
        <v>823.16666666666663</v>
      </c>
      <c r="F33" s="38">
        <f t="shared" si="1"/>
        <v>0.13865027230363258</v>
      </c>
    </row>
    <row r="34" spans="1:6" ht="16.5" x14ac:dyDescent="0.25">
      <c r="A34" s="34" t="s">
        <v>24</v>
      </c>
      <c r="B34" s="6"/>
      <c r="C34" s="7" t="s">
        <v>132</v>
      </c>
      <c r="D34" s="27">
        <v>2026</v>
      </c>
      <c r="E34" s="29"/>
      <c r="F34" s="38"/>
    </row>
    <row r="35" spans="1:6" ht="16.5" x14ac:dyDescent="0.25">
      <c r="A35" s="34" t="s">
        <v>25</v>
      </c>
      <c r="B35" s="6"/>
      <c r="C35" s="7" t="s">
        <v>69</v>
      </c>
      <c r="D35" s="27">
        <v>10350</v>
      </c>
      <c r="E35" s="29">
        <f t="shared" ref="E35" si="9">D35/12</f>
        <v>862.5</v>
      </c>
      <c r="F35" s="38">
        <f t="shared" si="1"/>
        <v>0.14527539161192521</v>
      </c>
    </row>
    <row r="36" spans="1:6" ht="16.5" x14ac:dyDescent="0.25">
      <c r="A36" s="34" t="s">
        <v>80</v>
      </c>
      <c r="B36" s="6"/>
      <c r="C36" s="7" t="s">
        <v>91</v>
      </c>
      <c r="D36" s="27">
        <v>14364</v>
      </c>
      <c r="E36" s="29">
        <f t="shared" ref="E36" si="10">D36/12</f>
        <v>1197</v>
      </c>
      <c r="F36" s="38">
        <f t="shared" si="1"/>
        <v>0.20161697827185449</v>
      </c>
    </row>
    <row r="37" spans="1:6" ht="31.5" x14ac:dyDescent="0.25">
      <c r="A37" s="34" t="s">
        <v>26</v>
      </c>
      <c r="B37" s="6"/>
      <c r="C37" s="7" t="s">
        <v>77</v>
      </c>
      <c r="D37" s="27">
        <v>23733</v>
      </c>
      <c r="E37" s="29">
        <f t="shared" ref="E37:E38" si="11">D37/12</f>
        <v>1977.75</v>
      </c>
      <c r="F37" s="38">
        <f t="shared" si="1"/>
        <v>0.33312278928751893</v>
      </c>
    </row>
    <row r="38" spans="1:6" ht="31.5" x14ac:dyDescent="0.25">
      <c r="A38" s="34" t="s">
        <v>75</v>
      </c>
      <c r="B38" s="6"/>
      <c r="C38" s="7" t="s">
        <v>92</v>
      </c>
      <c r="D38" s="27">
        <v>3005</v>
      </c>
      <c r="E38" s="29">
        <f t="shared" si="11"/>
        <v>250.41666666666666</v>
      </c>
      <c r="F38" s="38">
        <f t="shared" si="1"/>
        <v>4.2178990511481669E-2</v>
      </c>
    </row>
    <row r="39" spans="1:6" ht="16.5" x14ac:dyDescent="0.25">
      <c r="A39" s="34" t="s">
        <v>76</v>
      </c>
      <c r="B39" s="6"/>
      <c r="C39" s="7" t="s">
        <v>11</v>
      </c>
      <c r="D39" s="27">
        <f>D31*0.365927+D32*0.302+D35*0.273</f>
        <v>107774.54662560001</v>
      </c>
      <c r="E39" s="29">
        <f>D39/12</f>
        <v>8981.2122188000012</v>
      </c>
      <c r="F39" s="38">
        <f t="shared" si="1"/>
        <v>1.512752605490989</v>
      </c>
    </row>
    <row r="40" spans="1:6" ht="31.5" x14ac:dyDescent="0.25">
      <c r="A40" s="34" t="s">
        <v>81</v>
      </c>
      <c r="B40" s="6"/>
      <c r="C40" s="7" t="s">
        <v>90</v>
      </c>
      <c r="D40" s="27">
        <v>8555</v>
      </c>
      <c r="E40" s="29">
        <f>D40/12</f>
        <v>712.91666666666663</v>
      </c>
      <c r="F40" s="38">
        <f t="shared" si="1"/>
        <v>0.12008028746280387</v>
      </c>
    </row>
    <row r="41" spans="1:6" ht="16.5" x14ac:dyDescent="0.25">
      <c r="A41" s="34" t="s">
        <v>111</v>
      </c>
      <c r="B41" s="6"/>
      <c r="C41" s="7" t="s">
        <v>48</v>
      </c>
      <c r="D41" s="27">
        <v>2400</v>
      </c>
      <c r="E41" s="29">
        <f t="shared" si="0"/>
        <v>200</v>
      </c>
      <c r="F41" s="38">
        <f t="shared" si="1"/>
        <v>3.3687047330301499E-2</v>
      </c>
    </row>
    <row r="42" spans="1:6" ht="34.5" customHeight="1" x14ac:dyDescent="0.25">
      <c r="A42" s="22">
        <v>5</v>
      </c>
      <c r="B42" s="61" t="s">
        <v>31</v>
      </c>
      <c r="C42" s="61"/>
      <c r="D42" s="26">
        <f>SUM(D43:D46)</f>
        <v>133235.2155164</v>
      </c>
      <c r="E42" s="29">
        <f t="shared" si="0"/>
        <v>11102.934626366667</v>
      </c>
      <c r="F42" s="38">
        <f t="shared" si="1"/>
        <v>1.8701254213182865</v>
      </c>
    </row>
    <row r="43" spans="1:6" ht="16.5" x14ac:dyDescent="0.25">
      <c r="A43" s="34" t="s">
        <v>28</v>
      </c>
      <c r="B43" s="6"/>
      <c r="C43" s="7" t="s">
        <v>61</v>
      </c>
      <c r="D43" s="27">
        <f>287366*0.2</f>
        <v>57473.200000000004</v>
      </c>
      <c r="E43" s="29">
        <f t="shared" si="0"/>
        <v>4789.4333333333334</v>
      </c>
      <c r="F43" s="38">
        <f t="shared" si="1"/>
        <v>0.80670933692661839</v>
      </c>
    </row>
    <row r="44" spans="1:6" ht="31.5" x14ac:dyDescent="0.25">
      <c r="A44" s="34" t="s">
        <v>29</v>
      </c>
      <c r="B44" s="6"/>
      <c r="C44" s="7" t="s">
        <v>133</v>
      </c>
      <c r="D44" s="27">
        <v>39180</v>
      </c>
      <c r="E44" s="29">
        <f t="shared" ref="E44" si="12">D44/12</f>
        <v>3265</v>
      </c>
      <c r="F44" s="38">
        <f t="shared" si="1"/>
        <v>0.549941047667172</v>
      </c>
    </row>
    <row r="45" spans="1:6" ht="16.5" x14ac:dyDescent="0.25">
      <c r="A45" s="34" t="s">
        <v>112</v>
      </c>
      <c r="B45" s="6"/>
      <c r="C45" s="7" t="s">
        <v>11</v>
      </c>
      <c r="D45" s="27">
        <f>D43*0.365927+D44*0.365927+14</f>
        <v>35382.015516400003</v>
      </c>
      <c r="E45" s="29">
        <f t="shared" si="0"/>
        <v>2948.5012930333337</v>
      </c>
      <c r="F45" s="38">
        <f t="shared" si="1"/>
        <v>0.49663151305934539</v>
      </c>
    </row>
    <row r="46" spans="1:6" ht="16.5" x14ac:dyDescent="0.25">
      <c r="A46" s="34" t="s">
        <v>30</v>
      </c>
      <c r="B46" s="6"/>
      <c r="C46" s="7" t="s">
        <v>42</v>
      </c>
      <c r="D46" s="27">
        <v>1200</v>
      </c>
      <c r="E46" s="29">
        <f t="shared" si="0"/>
        <v>100</v>
      </c>
      <c r="F46" s="38">
        <f t="shared" si="1"/>
        <v>1.684352366515075E-2</v>
      </c>
    </row>
    <row r="47" spans="1:6" ht="16.5" x14ac:dyDescent="0.25">
      <c r="A47" s="22">
        <v>6</v>
      </c>
      <c r="B47" s="61" t="s">
        <v>32</v>
      </c>
      <c r="C47" s="61"/>
      <c r="D47" s="26">
        <v>22341</v>
      </c>
      <c r="E47" s="29">
        <f t="shared" si="0"/>
        <v>1861.75</v>
      </c>
      <c r="F47" s="38">
        <f t="shared" si="1"/>
        <v>0.3135843018359441</v>
      </c>
    </row>
    <row r="48" spans="1:6" ht="30" customHeight="1" x14ac:dyDescent="0.25">
      <c r="A48" s="22">
        <v>7</v>
      </c>
      <c r="B48" s="61" t="s">
        <v>107</v>
      </c>
      <c r="C48" s="61"/>
      <c r="D48" s="26">
        <v>18047</v>
      </c>
      <c r="E48" s="29">
        <f t="shared" si="0"/>
        <v>1503.9166666666667</v>
      </c>
      <c r="F48" s="38">
        <f t="shared" si="1"/>
        <v>0.25331255965414634</v>
      </c>
    </row>
    <row r="49" spans="1:6" ht="33" customHeight="1" x14ac:dyDescent="0.25">
      <c r="A49" s="22">
        <v>8</v>
      </c>
      <c r="B49" s="61" t="s">
        <v>5</v>
      </c>
      <c r="C49" s="61"/>
      <c r="D49" s="26">
        <f>('оплачено ПУ'!C18-'оплачено ПУ'!C23)*0.01</f>
        <v>37929.258099999999</v>
      </c>
      <c r="E49" s="29">
        <f t="shared" si="0"/>
        <v>3160.7715083333333</v>
      </c>
      <c r="F49" s="38">
        <f t="shared" si="1"/>
        <v>0.53238529700746728</v>
      </c>
    </row>
    <row r="50" spans="1:6" ht="33" customHeight="1" x14ac:dyDescent="0.25">
      <c r="A50" s="22">
        <v>9</v>
      </c>
      <c r="B50" s="62" t="s">
        <v>114</v>
      </c>
      <c r="C50" s="63"/>
      <c r="D50" s="26">
        <f>D5+D9+D23+D30+D42+D47+D48+D49</f>
        <v>1498426.6411299999</v>
      </c>
      <c r="E50" s="29">
        <f t="shared" si="0"/>
        <v>124868.88676083332</v>
      </c>
      <c r="F50" s="38">
        <f t="shared" si="1"/>
        <v>21.032320491971252</v>
      </c>
    </row>
    <row r="51" spans="1:6" ht="35.25" customHeight="1" x14ac:dyDescent="0.25">
      <c r="A51" s="22">
        <v>10</v>
      </c>
      <c r="B51" s="61" t="s">
        <v>130</v>
      </c>
      <c r="C51" s="61"/>
      <c r="D51" s="26">
        <f>'оплачено ПУ'!C23</f>
        <v>341852.04</v>
      </c>
      <c r="E51" s="29">
        <f t="shared" si="0"/>
        <v>28487.67</v>
      </c>
      <c r="F51" s="38">
        <f t="shared" si="1"/>
        <v>4.79832743810005</v>
      </c>
    </row>
    <row r="52" spans="1:6" ht="24" customHeight="1" x14ac:dyDescent="0.25">
      <c r="A52" s="22">
        <v>11</v>
      </c>
      <c r="B52" s="62" t="s">
        <v>113</v>
      </c>
      <c r="C52" s="63"/>
      <c r="D52" s="26">
        <f>D50+D51</f>
        <v>1840278.6811299999</v>
      </c>
      <c r="E52" s="29">
        <f t="shared" si="0"/>
        <v>153356.55676083334</v>
      </c>
      <c r="F52" s="38">
        <f t="shared" si="1"/>
        <v>25.830647930071304</v>
      </c>
    </row>
    <row r="53" spans="1:6" s="3" customFormat="1" ht="24" customHeight="1" x14ac:dyDescent="0.3">
      <c r="A53" s="23">
        <v>12</v>
      </c>
      <c r="B53" s="65" t="s">
        <v>34</v>
      </c>
      <c r="C53" s="65"/>
      <c r="D53" s="28">
        <f>SUM(D54:D56)</f>
        <v>2215944</v>
      </c>
      <c r="E53" s="29">
        <f t="shared" si="0"/>
        <v>184662</v>
      </c>
      <c r="F53" s="38">
        <f t="shared" si="1"/>
        <v>31.103587670540676</v>
      </c>
    </row>
    <row r="54" spans="1:6" ht="30" customHeight="1" x14ac:dyDescent="0.25">
      <c r="A54" s="34" t="s">
        <v>39</v>
      </c>
      <c r="B54" s="32"/>
      <c r="C54" s="33" t="s">
        <v>128</v>
      </c>
      <c r="D54" s="27">
        <f>1583443-D48</f>
        <v>1565396</v>
      </c>
      <c r="E54" s="29">
        <f t="shared" si="0"/>
        <v>130449.66666666667</v>
      </c>
      <c r="F54" s="38">
        <f t="shared" si="1"/>
        <v>21.972320476110269</v>
      </c>
    </row>
    <row r="55" spans="1:6" ht="16.5" customHeight="1" x14ac:dyDescent="0.25">
      <c r="A55" s="34" t="s">
        <v>40</v>
      </c>
      <c r="B55" s="32"/>
      <c r="C55" s="33" t="s">
        <v>62</v>
      </c>
      <c r="D55" s="27">
        <v>352479</v>
      </c>
      <c r="E55" s="29">
        <f t="shared" si="0"/>
        <v>29373.25</v>
      </c>
      <c r="F55" s="38">
        <f t="shared" si="1"/>
        <v>4.9474903149738925</v>
      </c>
    </row>
    <row r="56" spans="1:6" ht="16.5" customHeight="1" x14ac:dyDescent="0.25">
      <c r="A56" s="34" t="s">
        <v>41</v>
      </c>
      <c r="B56" s="32"/>
      <c r="C56" s="33" t="s">
        <v>63</v>
      </c>
      <c r="D56" s="27">
        <v>298069</v>
      </c>
      <c r="E56" s="29">
        <f t="shared" si="0"/>
        <v>24839.083333333332</v>
      </c>
      <c r="F56" s="38">
        <f t="shared" si="1"/>
        <v>4.1837768794565156</v>
      </c>
    </row>
    <row r="57" spans="1:6" s="3" customFormat="1" ht="24" customHeight="1" x14ac:dyDescent="0.3">
      <c r="A57" s="23">
        <v>13</v>
      </c>
      <c r="B57" s="66" t="s">
        <v>33</v>
      </c>
      <c r="C57" s="67"/>
      <c r="D57" s="28">
        <f>D52+D53</f>
        <v>4056222.6811299999</v>
      </c>
      <c r="E57" s="29">
        <f t="shared" si="0"/>
        <v>338018.55676083331</v>
      </c>
      <c r="F57" s="38">
        <f t="shared" si="1"/>
        <v>56.934235600611977</v>
      </c>
    </row>
    <row r="58" spans="1:6" x14ac:dyDescent="0.25">
      <c r="B58" s="2" t="s">
        <v>129</v>
      </c>
    </row>
    <row r="59" spans="1:6" s="3" customFormat="1" ht="24" customHeight="1" x14ac:dyDescent="0.3">
      <c r="A59" s="23">
        <v>12</v>
      </c>
      <c r="B59" s="65" t="s">
        <v>34</v>
      </c>
      <c r="C59" s="65"/>
      <c r="D59" s="28">
        <f>SUM(D60:D62)</f>
        <v>2233991</v>
      </c>
      <c r="E59" s="29">
        <f t="shared" ref="E59:E62" si="13">D59/12</f>
        <v>186165.91666666666</v>
      </c>
      <c r="F59" s="38">
        <f t="shared" ref="F59:F62" si="14">E59/5937</f>
        <v>31.356900230194821</v>
      </c>
    </row>
    <row r="60" spans="1:6" ht="30" customHeight="1" x14ac:dyDescent="0.25">
      <c r="A60" s="34" t="s">
        <v>39</v>
      </c>
      <c r="B60" s="32"/>
      <c r="C60" s="33" t="s">
        <v>64</v>
      </c>
      <c r="D60" s="27">
        <f>1583443</f>
        <v>1583443</v>
      </c>
      <c r="E60" s="29">
        <f t="shared" si="13"/>
        <v>131953.58333333334</v>
      </c>
      <c r="F60" s="38">
        <f t="shared" si="14"/>
        <v>22.225633035764417</v>
      </c>
    </row>
    <row r="61" spans="1:6" ht="16.5" customHeight="1" x14ac:dyDescent="0.25">
      <c r="A61" s="34" t="s">
        <v>40</v>
      </c>
      <c r="B61" s="32"/>
      <c r="C61" s="33" t="s">
        <v>62</v>
      </c>
      <c r="D61" s="27">
        <v>352479</v>
      </c>
      <c r="E61" s="29">
        <f t="shared" si="13"/>
        <v>29373.25</v>
      </c>
      <c r="F61" s="38">
        <f t="shared" si="14"/>
        <v>4.9474903149738925</v>
      </c>
    </row>
    <row r="62" spans="1:6" ht="16.5" customHeight="1" x14ac:dyDescent="0.25">
      <c r="A62" s="34" t="s">
        <v>41</v>
      </c>
      <c r="B62" s="32"/>
      <c r="C62" s="33" t="s">
        <v>63</v>
      </c>
      <c r="D62" s="27">
        <v>298069</v>
      </c>
      <c r="E62" s="29">
        <f t="shared" si="13"/>
        <v>24839.083333333332</v>
      </c>
      <c r="F62" s="38">
        <f t="shared" si="14"/>
        <v>4.1837768794565156</v>
      </c>
    </row>
    <row r="64" spans="1:6" s="3" customFormat="1" ht="16.5" x14ac:dyDescent="0.3">
      <c r="A64" s="52"/>
      <c r="C64" s="3" t="s">
        <v>131</v>
      </c>
      <c r="D64" s="53"/>
      <c r="E64" s="53"/>
      <c r="F64" s="54"/>
    </row>
    <row r="65" spans="1:6" s="3" customFormat="1" ht="33" x14ac:dyDescent="0.3">
      <c r="A65" s="55"/>
      <c r="B65" s="50"/>
      <c r="C65" s="51" t="s">
        <v>94</v>
      </c>
      <c r="D65" s="28">
        <v>124000</v>
      </c>
      <c r="E65" s="56">
        <f t="shared" ref="E65" si="15">D65/12</f>
        <v>10333.333333333334</v>
      </c>
      <c r="F65" s="57">
        <f t="shared" ref="F65" si="16">E65/5937</f>
        <v>1.7404974453989108</v>
      </c>
    </row>
  </sheetData>
  <mergeCells count="18">
    <mergeCell ref="B59:C59"/>
    <mergeCell ref="B48:C48"/>
    <mergeCell ref="B52:C52"/>
    <mergeCell ref="B53:C53"/>
    <mergeCell ref="B57:C57"/>
    <mergeCell ref="A1:F1"/>
    <mergeCell ref="A3:F3"/>
    <mergeCell ref="A2:F2"/>
    <mergeCell ref="B51:C51"/>
    <mergeCell ref="B50:C50"/>
    <mergeCell ref="B4:C4"/>
    <mergeCell ref="B49:C49"/>
    <mergeCell ref="B47:C47"/>
    <mergeCell ref="B42:C42"/>
    <mergeCell ref="B23:C23"/>
    <mergeCell ref="B5:C5"/>
    <mergeCell ref="B9:C9"/>
    <mergeCell ref="B30:C30"/>
  </mergeCells>
  <pageMargins left="0.39370078740157483" right="0.39370078740157483" top="0.39370078740157483" bottom="0.39370078740157483" header="0.31496062992125984" footer="0.31496062992125984"/>
  <pageSetup paperSize="9" scale="86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6" workbookViewId="0">
      <selection activeCell="B19" sqref="B19"/>
    </sheetView>
  </sheetViews>
  <sheetFormatPr defaultRowHeight="15.75" x14ac:dyDescent="0.25"/>
  <cols>
    <col min="1" max="1" width="6.7109375" style="8" customWidth="1"/>
    <col min="2" max="2" width="50.7109375" style="9" customWidth="1"/>
    <col min="3" max="3" width="20.7109375" style="20" customWidth="1"/>
    <col min="4" max="4" width="11.42578125" style="8" customWidth="1"/>
    <col min="5" max="16384" width="9.140625" style="8"/>
  </cols>
  <sheetData>
    <row r="1" spans="1:4" ht="15.75" customHeight="1" x14ac:dyDescent="0.3">
      <c r="A1" s="68" t="s">
        <v>86</v>
      </c>
      <c r="B1" s="68"/>
      <c r="C1" s="68"/>
      <c r="D1" s="68"/>
    </row>
    <row r="2" spans="1:4" ht="15.75" customHeight="1" x14ac:dyDescent="0.3">
      <c r="A2" s="69" t="s">
        <v>35</v>
      </c>
      <c r="B2" s="69"/>
      <c r="C2" s="69"/>
      <c r="D2" s="69"/>
    </row>
    <row r="3" spans="1:4" ht="15.75" customHeight="1" x14ac:dyDescent="0.3">
      <c r="A3" s="70" t="s">
        <v>51</v>
      </c>
      <c r="B3" s="70"/>
      <c r="C3" s="70"/>
      <c r="D3" s="70"/>
    </row>
    <row r="4" spans="1:4" s="14" customFormat="1" ht="47.25" x14ac:dyDescent="0.25">
      <c r="A4" s="13" t="s">
        <v>3</v>
      </c>
      <c r="B4" s="13" t="s">
        <v>2</v>
      </c>
      <c r="C4" s="17" t="s">
        <v>89</v>
      </c>
      <c r="D4" s="40" t="s">
        <v>44</v>
      </c>
    </row>
    <row r="5" spans="1:4" s="16" customFormat="1" ht="33" customHeight="1" x14ac:dyDescent="0.3">
      <c r="A5" s="15">
        <v>1</v>
      </c>
      <c r="B5" s="12" t="s">
        <v>84</v>
      </c>
      <c r="C5" s="19">
        <f>SUM(C6:C11)</f>
        <v>2286368.19</v>
      </c>
      <c r="D5" s="41">
        <f>C5/12/5937</f>
        <v>32.092080596260736</v>
      </c>
    </row>
    <row r="6" spans="1:4" ht="16.5" customHeight="1" x14ac:dyDescent="0.25">
      <c r="A6" s="35" t="s">
        <v>13</v>
      </c>
      <c r="B6" s="10" t="s">
        <v>64</v>
      </c>
      <c r="C6" s="18">
        <f>964694.32+3771.99+548659.77-7280.88</f>
        <v>1509845.2000000002</v>
      </c>
      <c r="D6" s="41">
        <f t="shared" ref="D6:D17" si="0">C6/12/5937</f>
        <v>21.192594464095226</v>
      </c>
    </row>
    <row r="7" spans="1:4" ht="16.5" customHeight="1" x14ac:dyDescent="0.25">
      <c r="A7" s="35" t="s">
        <v>14</v>
      </c>
      <c r="B7" s="10" t="s">
        <v>65</v>
      </c>
      <c r="C7" s="18">
        <f>35662.72-3763.02+5222.76-642.76+7641.86+3752.77+1247.5+642.76</f>
        <v>49764.59</v>
      </c>
      <c r="D7" s="41">
        <f t="shared" si="0"/>
        <v>0.6985092077929369</v>
      </c>
    </row>
    <row r="8" spans="1:4" ht="16.5" customHeight="1" x14ac:dyDescent="0.25">
      <c r="A8" s="35" t="s">
        <v>36</v>
      </c>
      <c r="B8" s="10" t="s">
        <v>62</v>
      </c>
      <c r="C8" s="18">
        <f>383696.61+31.49</f>
        <v>383728.1</v>
      </c>
      <c r="D8" s="41">
        <f t="shared" si="0"/>
        <v>5.3861111111111102</v>
      </c>
    </row>
    <row r="9" spans="1:4" ht="16.5" customHeight="1" x14ac:dyDescent="0.25">
      <c r="A9" s="35" t="s">
        <v>37</v>
      </c>
      <c r="B9" s="10" t="s">
        <v>66</v>
      </c>
      <c r="C9" s="18">
        <f>10497.21-1.57</f>
        <v>10495.64</v>
      </c>
      <c r="D9" s="41">
        <f t="shared" si="0"/>
        <v>0.14731963393408568</v>
      </c>
    </row>
    <row r="10" spans="1:4" ht="16.5" customHeight="1" x14ac:dyDescent="0.25">
      <c r="A10" s="35" t="s">
        <v>43</v>
      </c>
      <c r="B10" s="10" t="s">
        <v>63</v>
      </c>
      <c r="C10" s="18">
        <f>328252.9-32.38</f>
        <v>328220.52</v>
      </c>
      <c r="D10" s="41">
        <f t="shared" si="0"/>
        <v>4.6069917466734047</v>
      </c>
    </row>
    <row r="11" spans="1:4" ht="16.5" customHeight="1" x14ac:dyDescent="0.25">
      <c r="A11" s="35" t="s">
        <v>118</v>
      </c>
      <c r="B11" s="10" t="s">
        <v>103</v>
      </c>
      <c r="C11" s="18">
        <f>4314.14</f>
        <v>4314.1400000000003</v>
      </c>
      <c r="D11" s="41">
        <f t="shared" si="0"/>
        <v>6.0554432653977884E-2</v>
      </c>
    </row>
    <row r="12" spans="1:4" s="16" customFormat="1" ht="16.5" customHeight="1" x14ac:dyDescent="0.3">
      <c r="A12" s="15">
        <v>2</v>
      </c>
      <c r="B12" s="12" t="s">
        <v>115</v>
      </c>
      <c r="C12" s="19">
        <f>1722632.7-232.91+27548.4</f>
        <v>1749948.19</v>
      </c>
      <c r="D12" s="41">
        <f t="shared" si="0"/>
        <v>24.562744792543935</v>
      </c>
    </row>
    <row r="13" spans="1:4" s="16" customFormat="1" ht="30" customHeight="1" x14ac:dyDescent="0.3">
      <c r="A13" s="15"/>
      <c r="B13" s="12" t="s">
        <v>119</v>
      </c>
      <c r="C13" s="45">
        <f>123916.32+487.27</f>
        <v>124403.59000000001</v>
      </c>
      <c r="D13" s="41">
        <f t="shared" si="0"/>
        <v>1.7461623434955926</v>
      </c>
    </row>
    <row r="14" spans="1:4" s="16" customFormat="1" ht="16.5" customHeight="1" x14ac:dyDescent="0.3">
      <c r="A14" s="15"/>
      <c r="B14" s="12" t="s">
        <v>104</v>
      </c>
      <c r="C14" s="45">
        <f>C5+C12+C13</f>
        <v>4160719.9699999997</v>
      </c>
      <c r="D14" s="41">
        <f t="shared" si="0"/>
        <v>58.400987732300258</v>
      </c>
    </row>
    <row r="15" spans="1:4" ht="16.5" customHeight="1" thickBot="1" x14ac:dyDescent="0.3">
      <c r="A15" s="11">
        <v>3</v>
      </c>
      <c r="B15" s="10" t="s">
        <v>82</v>
      </c>
      <c r="C15" s="42">
        <v>38226.1</v>
      </c>
      <c r="D15" s="41">
        <f t="shared" si="0"/>
        <v>0.53655184998034922</v>
      </c>
    </row>
    <row r="16" spans="1:4" ht="16.5" customHeight="1" thickTop="1" thickBot="1" x14ac:dyDescent="0.3">
      <c r="A16" s="11"/>
      <c r="B16" s="47" t="s">
        <v>124</v>
      </c>
      <c r="C16" s="49">
        <f>C12+C13</f>
        <v>1874351.78</v>
      </c>
      <c r="D16" s="46">
        <f t="shared" si="0"/>
        <v>26.308907136039526</v>
      </c>
    </row>
    <row r="17" spans="1:4" s="16" customFormat="1" ht="30" customHeight="1" thickTop="1" thickBot="1" x14ac:dyDescent="0.35">
      <c r="A17" s="15">
        <v>4</v>
      </c>
      <c r="B17" s="30" t="s">
        <v>105</v>
      </c>
      <c r="C17" s="48">
        <f>C14+C15</f>
        <v>4198946.0699999994</v>
      </c>
      <c r="D17" s="41">
        <f t="shared" si="0"/>
        <v>58.9375395822806</v>
      </c>
    </row>
  </sheetData>
  <mergeCells count="3">
    <mergeCell ref="A1:D1"/>
    <mergeCell ref="A2:D2"/>
    <mergeCell ref="A3:D3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12" sqref="C12"/>
    </sheetView>
  </sheetViews>
  <sheetFormatPr defaultRowHeight="15.75" x14ac:dyDescent="0.25"/>
  <cols>
    <col min="1" max="1" width="6.7109375" style="8" customWidth="1"/>
    <col min="2" max="2" width="50.7109375" style="9" customWidth="1"/>
    <col min="3" max="3" width="20.7109375" style="20" customWidth="1"/>
    <col min="4" max="4" width="11.42578125" style="8" customWidth="1"/>
    <col min="5" max="16384" width="9.140625" style="8"/>
  </cols>
  <sheetData>
    <row r="1" spans="1:4" ht="15.75" customHeight="1" x14ac:dyDescent="0.3">
      <c r="A1" s="68" t="s">
        <v>88</v>
      </c>
      <c r="B1" s="68"/>
      <c r="C1" s="68"/>
      <c r="D1" s="68"/>
    </row>
    <row r="2" spans="1:4" ht="15.75" customHeight="1" x14ac:dyDescent="0.3">
      <c r="A2" s="69" t="s">
        <v>35</v>
      </c>
      <c r="B2" s="69"/>
      <c r="C2" s="69"/>
      <c r="D2" s="69"/>
    </row>
    <row r="3" spans="1:4" ht="15.75" customHeight="1" x14ac:dyDescent="0.3">
      <c r="A3" s="70" t="s">
        <v>50</v>
      </c>
      <c r="B3" s="70"/>
      <c r="C3" s="70"/>
      <c r="D3" s="70"/>
    </row>
    <row r="4" spans="1:4" s="14" customFormat="1" ht="47.25" x14ac:dyDescent="0.25">
      <c r="A4" s="13" t="s">
        <v>3</v>
      </c>
      <c r="B4" s="13" t="s">
        <v>2</v>
      </c>
      <c r="C4" s="17" t="s">
        <v>89</v>
      </c>
      <c r="D4" s="40" t="s">
        <v>44</v>
      </c>
    </row>
    <row r="5" spans="1:4" s="16" customFormat="1" ht="33" customHeight="1" x14ac:dyDescent="0.3">
      <c r="A5" s="15">
        <v>1</v>
      </c>
      <c r="B5" s="12" t="s">
        <v>85</v>
      </c>
      <c r="C5" s="19">
        <f>SUM(C6:C11)</f>
        <v>2265444.5900000003</v>
      </c>
      <c r="D5" s="41">
        <f>C5/12/5937</f>
        <v>31.798391303127286</v>
      </c>
    </row>
    <row r="6" spans="1:4" ht="16.5" customHeight="1" x14ac:dyDescent="0.25">
      <c r="A6" s="35" t="s">
        <v>13</v>
      </c>
      <c r="B6" s="10" t="s">
        <v>64</v>
      </c>
      <c r="C6" s="18">
        <f>916600.46+63273.41+473692.21+19862.58</f>
        <v>1473428.6600000001</v>
      </c>
      <c r="D6" s="41">
        <f t="shared" ref="D6:D23" si="0">C6/12/5937</f>
        <v>20.681442086351133</v>
      </c>
    </row>
    <row r="7" spans="1:4" ht="16.5" customHeight="1" x14ac:dyDescent="0.25">
      <c r="A7" s="35" t="s">
        <v>14</v>
      </c>
      <c r="B7" s="10" t="s">
        <v>121</v>
      </c>
      <c r="C7" s="18">
        <f>19998.5+3434.08+2914.49+497.76+11000.17+383.28+1835.32+60.91+25352.86</f>
        <v>65477.37</v>
      </c>
      <c r="D7" s="41">
        <f t="shared" si="0"/>
        <v>0.91905802593902652</v>
      </c>
    </row>
    <row r="8" spans="1:4" ht="16.5" customHeight="1" x14ac:dyDescent="0.25">
      <c r="A8" s="35" t="s">
        <v>36</v>
      </c>
      <c r="B8" s="10" t="s">
        <v>62</v>
      </c>
      <c r="C8" s="18">
        <f>361124.69+19508.43</f>
        <v>380633.12</v>
      </c>
      <c r="D8" s="41">
        <f t="shared" si="0"/>
        <v>5.3426691370501374</v>
      </c>
    </row>
    <row r="9" spans="1:4" ht="16.5" customHeight="1" x14ac:dyDescent="0.25">
      <c r="A9" s="35" t="s">
        <v>37</v>
      </c>
      <c r="B9" s="10" t="s">
        <v>122</v>
      </c>
      <c r="C9" s="18">
        <f>12153.25+763.54</f>
        <v>12916.79</v>
      </c>
      <c r="D9" s="41">
        <f t="shared" si="0"/>
        <v>0.18130354836898549</v>
      </c>
    </row>
    <row r="10" spans="1:4" ht="16.5" customHeight="1" x14ac:dyDescent="0.25">
      <c r="A10" s="35" t="s">
        <v>43</v>
      </c>
      <c r="B10" s="10" t="s">
        <v>63</v>
      </c>
      <c r="C10" s="18">
        <f>313875.28+15786.24</f>
        <v>329661.52</v>
      </c>
      <c r="D10" s="41">
        <f t="shared" si="0"/>
        <v>4.6272180113413066</v>
      </c>
    </row>
    <row r="11" spans="1:4" ht="16.5" customHeight="1" x14ac:dyDescent="0.25">
      <c r="A11" s="35" t="s">
        <v>118</v>
      </c>
      <c r="B11" s="10" t="s">
        <v>103</v>
      </c>
      <c r="C11" s="18">
        <f>2919.79+407.34</f>
        <v>3327.13</v>
      </c>
      <c r="D11" s="41">
        <f t="shared" si="0"/>
        <v>4.6700494076694174E-2</v>
      </c>
    </row>
    <row r="12" spans="1:4" s="16" customFormat="1" ht="16.5" customHeight="1" x14ac:dyDescent="0.3">
      <c r="A12" s="15">
        <v>2</v>
      </c>
      <c r="B12" s="12" t="s">
        <v>115</v>
      </c>
      <c r="C12" s="19">
        <f>1547691.74+133806.62+25152.88+2608.96</f>
        <v>1709260.1999999997</v>
      </c>
      <c r="D12" s="41">
        <f t="shared" si="0"/>
        <v>23.991637190500249</v>
      </c>
    </row>
    <row r="13" spans="1:4" s="16" customFormat="1" ht="30" customHeight="1" x14ac:dyDescent="0.3">
      <c r="A13" s="15">
        <v>3</v>
      </c>
      <c r="B13" s="12" t="s">
        <v>116</v>
      </c>
      <c r="C13" s="19">
        <f>C5+C12</f>
        <v>3974704.79</v>
      </c>
      <c r="D13" s="41">
        <f t="shared" si="0"/>
        <v>55.790028493627531</v>
      </c>
    </row>
    <row r="14" spans="1:4" s="16" customFormat="1" ht="30" customHeight="1" x14ac:dyDescent="0.3">
      <c r="A14" s="15"/>
      <c r="B14" s="12" t="s">
        <v>120</v>
      </c>
      <c r="C14" s="19">
        <f>115116.58+6064.03</f>
        <v>121180.61</v>
      </c>
      <c r="D14" s="41">
        <f t="shared" si="0"/>
        <v>1.7009237269103363</v>
      </c>
    </row>
    <row r="15" spans="1:4" s="16" customFormat="1" ht="30" customHeight="1" x14ac:dyDescent="0.3">
      <c r="A15" s="15"/>
      <c r="B15" s="12" t="s">
        <v>106</v>
      </c>
      <c r="C15" s="19">
        <f>C13+C14</f>
        <v>4095885.4</v>
      </c>
      <c r="D15" s="41">
        <f t="shared" si="0"/>
        <v>57.490952220537871</v>
      </c>
    </row>
    <row r="16" spans="1:4" ht="18" customHeight="1" x14ac:dyDescent="0.25">
      <c r="A16" s="11">
        <v>4</v>
      </c>
      <c r="B16" s="10" t="s">
        <v>82</v>
      </c>
      <c r="C16" s="18">
        <f>31085.29+519.36</f>
        <v>31604.65</v>
      </c>
      <c r="D16" s="41">
        <f t="shared" si="0"/>
        <v>0.4436113918365055</v>
      </c>
    </row>
    <row r="17" spans="1:4" ht="30" customHeight="1" thickBot="1" x14ac:dyDescent="0.3">
      <c r="A17" s="11">
        <v>5</v>
      </c>
      <c r="B17" s="10" t="s">
        <v>117</v>
      </c>
      <c r="C17" s="42">
        <f>104204.16-96916.36</f>
        <v>7287.8000000000029</v>
      </c>
      <c r="D17" s="41">
        <f t="shared" si="0"/>
        <v>0.10229352647240474</v>
      </c>
    </row>
    <row r="18" spans="1:4" s="16" customFormat="1" ht="16.5" customHeight="1" thickTop="1" thickBot="1" x14ac:dyDescent="0.35">
      <c r="A18" s="15">
        <v>6</v>
      </c>
      <c r="B18" s="43" t="s">
        <v>8</v>
      </c>
      <c r="C18" s="44">
        <f>C15+C16+C17</f>
        <v>4134777.8499999996</v>
      </c>
      <c r="D18" s="41">
        <f t="shared" si="0"/>
        <v>58.036857138846777</v>
      </c>
    </row>
    <row r="19" spans="1:4" s="16" customFormat="1" ht="16.5" customHeight="1" thickTop="1" thickBot="1" x14ac:dyDescent="0.35">
      <c r="A19" s="15"/>
      <c r="B19" s="43" t="s">
        <v>123</v>
      </c>
      <c r="C19" s="44">
        <f>C12+C14</f>
        <v>1830440.8099999998</v>
      </c>
      <c r="D19" s="41">
        <f t="shared" si="0"/>
        <v>25.692560917410589</v>
      </c>
    </row>
    <row r="20" spans="1:4" ht="16.5" customHeight="1" thickTop="1" x14ac:dyDescent="0.25">
      <c r="A20" s="11"/>
      <c r="B20" s="10" t="s">
        <v>0</v>
      </c>
      <c r="C20" s="31"/>
      <c r="D20" s="41"/>
    </row>
    <row r="21" spans="1:4" ht="23.25" customHeight="1" x14ac:dyDescent="0.3">
      <c r="A21" s="11"/>
      <c r="B21" s="12" t="s">
        <v>67</v>
      </c>
      <c r="C21" s="18"/>
      <c r="D21" s="41"/>
    </row>
    <row r="22" spans="1:4" ht="46.5" customHeight="1" x14ac:dyDescent="0.25">
      <c r="A22" s="35" t="s">
        <v>83</v>
      </c>
      <c r="B22" s="10" t="s">
        <v>52</v>
      </c>
      <c r="C22" s="18">
        <f>C12*0.2</f>
        <v>341852.04</v>
      </c>
      <c r="D22" s="41">
        <f t="shared" si="0"/>
        <v>4.79832743810005</v>
      </c>
    </row>
    <row r="23" spans="1:4" s="16" customFormat="1" ht="16.5" customHeight="1" x14ac:dyDescent="0.3">
      <c r="A23" s="15">
        <v>7</v>
      </c>
      <c r="B23" s="12" t="s">
        <v>68</v>
      </c>
      <c r="C23" s="19">
        <f>C22</f>
        <v>341852.04</v>
      </c>
      <c r="D23" s="41">
        <f t="shared" si="0"/>
        <v>4.79832743810005</v>
      </c>
    </row>
    <row r="24" spans="1:4" ht="16.5" customHeight="1" x14ac:dyDescent="0.25"/>
    <row r="25" spans="1:4" ht="16.5" customHeight="1" x14ac:dyDescent="0.25"/>
    <row r="26" spans="1:4" ht="16.5" customHeight="1" x14ac:dyDescent="0.25"/>
    <row r="27" spans="1:4" ht="16.5" customHeight="1" x14ac:dyDescent="0.25"/>
    <row r="28" spans="1:4" ht="16.5" customHeight="1" x14ac:dyDescent="0.25"/>
    <row r="29" spans="1:4" ht="16.5" customHeight="1" x14ac:dyDescent="0.25"/>
  </sheetData>
  <mergeCells count="3">
    <mergeCell ref="A3:D3"/>
    <mergeCell ref="A2:D2"/>
    <mergeCell ref="A1:D1"/>
  </mergeCell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начислено ИУ</vt:lpstr>
      <vt:lpstr>начислено ПУ</vt:lpstr>
      <vt:lpstr>оплачено ПУ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cp:lastPrinted>2016-03-31T10:00:18Z</cp:lastPrinted>
  <dcterms:created xsi:type="dcterms:W3CDTF">2013-03-25T11:46:54Z</dcterms:created>
  <dcterms:modified xsi:type="dcterms:W3CDTF">2018-04-02T07:24:57Z</dcterms:modified>
</cp:coreProperties>
</file>