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9270"/>
  </bookViews>
  <sheets>
    <sheet name="начислено ИУ " sheetId="3" r:id="rId1"/>
    <sheet name="начислено ПУ" sheetId="5" r:id="rId2"/>
    <sheet name="оплачено ПУ" sheetId="2" r:id="rId3"/>
  </sheets>
  <calcPr calcId="145621" refMode="R1C1"/>
</workbook>
</file>

<file path=xl/calcChain.xml><?xml version="1.0" encoding="utf-8"?>
<calcChain xmlns="http://schemas.openxmlformats.org/spreadsheetml/2006/main">
  <c r="C26" i="2" l="1"/>
  <c r="C24" i="2"/>
  <c r="D76" i="3"/>
  <c r="E78" i="3"/>
  <c r="F78" i="3" s="1"/>
  <c r="E77" i="3"/>
  <c r="F77" i="3" s="1"/>
  <c r="D53" i="3" l="1"/>
  <c r="D38" i="3"/>
  <c r="D32" i="3"/>
  <c r="E33" i="3" l="1"/>
  <c r="F33" i="3" s="1"/>
  <c r="E34" i="3"/>
  <c r="F34" i="3" s="1"/>
  <c r="D62" i="3"/>
  <c r="D70" i="3" s="1"/>
  <c r="D7" i="3"/>
  <c r="D5" i="3"/>
  <c r="D49" i="3"/>
  <c r="E21" i="3" l="1"/>
  <c r="F21" i="3" s="1"/>
  <c r="E20" i="3"/>
  <c r="F20" i="3" s="1"/>
  <c r="C16" i="2" l="1"/>
  <c r="C15" i="2"/>
  <c r="C12" i="2" l="1"/>
  <c r="C10" i="2"/>
  <c r="D10" i="2" s="1"/>
  <c r="C11" i="2"/>
  <c r="C9" i="2"/>
  <c r="C8" i="2"/>
  <c r="C7" i="2"/>
  <c r="C6" i="2"/>
  <c r="C12" i="5"/>
  <c r="C10" i="5"/>
  <c r="D10" i="5" s="1"/>
  <c r="C11" i="5"/>
  <c r="C9" i="5"/>
  <c r="C8" i="5"/>
  <c r="C6" i="5"/>
  <c r="C7" i="5"/>
  <c r="D21" i="5" l="1"/>
  <c r="D22" i="2"/>
  <c r="E63" i="3"/>
  <c r="F63" i="3" s="1"/>
  <c r="E64" i="3"/>
  <c r="F64" i="3" s="1"/>
  <c r="D35" i="3" l="1"/>
  <c r="D26" i="3"/>
  <c r="D27" i="3" l="1"/>
  <c r="D12" i="3" s="1"/>
  <c r="D31" i="3" l="1"/>
  <c r="D36" i="3" l="1"/>
  <c r="D29" i="3" s="1"/>
  <c r="D39" i="3"/>
  <c r="D48" i="3" s="1"/>
  <c r="D37" i="3" l="1"/>
  <c r="D56" i="3"/>
  <c r="D55" i="3" s="1"/>
  <c r="E56" i="3" l="1"/>
  <c r="F56" i="3" s="1"/>
  <c r="E41" i="3"/>
  <c r="F41" i="3"/>
  <c r="D60" i="3"/>
  <c r="D58" i="3" s="1"/>
  <c r="D52" i="3" l="1"/>
  <c r="D6" i="2"/>
  <c r="D7" i="2"/>
  <c r="D8" i="2"/>
  <c r="D9" i="2"/>
  <c r="D11" i="2"/>
  <c r="D12" i="2"/>
  <c r="D13" i="2"/>
  <c r="D15" i="2"/>
  <c r="D16" i="2"/>
  <c r="D19" i="2"/>
  <c r="D20" i="2"/>
  <c r="D21" i="2"/>
  <c r="D25" i="2"/>
  <c r="D27" i="2"/>
  <c r="D6" i="5"/>
  <c r="D7" i="5"/>
  <c r="D8" i="5"/>
  <c r="D9" i="5"/>
  <c r="D11" i="5"/>
  <c r="D12" i="5"/>
  <c r="D13" i="5"/>
  <c r="D15" i="5"/>
  <c r="D18" i="5"/>
  <c r="D19" i="5"/>
  <c r="D20" i="5"/>
  <c r="E28" i="3" l="1"/>
  <c r="F28" i="3" s="1"/>
  <c r="E19" i="3"/>
  <c r="F19" i="3" s="1"/>
  <c r="E43" i="3"/>
  <c r="F43" i="3" s="1"/>
  <c r="E46" i="3"/>
  <c r="F46" i="3" s="1"/>
  <c r="C18" i="2" l="1"/>
  <c r="C17" i="5"/>
  <c r="D17" i="5" l="1"/>
  <c r="C22" i="5"/>
  <c r="D18" i="2"/>
  <c r="C23" i="2"/>
  <c r="E23" i="3"/>
  <c r="F23" i="3" s="1"/>
  <c r="D22" i="5" l="1"/>
  <c r="C24" i="5"/>
  <c r="D24" i="5" s="1"/>
  <c r="D23" i="2"/>
  <c r="E17" i="3"/>
  <c r="F17" i="3" s="1"/>
  <c r="E22" i="3"/>
  <c r="F22" i="3" s="1"/>
  <c r="E44" i="3"/>
  <c r="F44" i="3" s="1"/>
  <c r="E54" i="3"/>
  <c r="F54" i="3" s="1"/>
  <c r="E45" i="3" l="1"/>
  <c r="F45" i="3" s="1"/>
  <c r="E47" i="3"/>
  <c r="F47" i="3" s="1"/>
  <c r="E57" i="3" l="1"/>
  <c r="F57" i="3" s="1"/>
  <c r="E59" i="3" l="1"/>
  <c r="F59" i="3" s="1"/>
  <c r="E60" i="3"/>
  <c r="F60" i="3" s="1"/>
  <c r="E16" i="3" l="1"/>
  <c r="F16" i="3" s="1"/>
  <c r="E15" i="3" l="1"/>
  <c r="F15" i="3" s="1"/>
  <c r="C5" i="5" l="1"/>
  <c r="D5" i="5" s="1"/>
  <c r="E49" i="3"/>
  <c r="F49" i="3" s="1"/>
  <c r="E42" i="3"/>
  <c r="F42" i="3" s="1"/>
  <c r="C14" i="5" l="1"/>
  <c r="D14" i="5" l="1"/>
  <c r="C16" i="5"/>
  <c r="C23" i="5" l="1"/>
  <c r="D23" i="5" s="1"/>
  <c r="D16" i="5"/>
  <c r="C29" i="2"/>
  <c r="D29" i="2" s="1"/>
  <c r="C28" i="2"/>
  <c r="D28" i="2" s="1"/>
  <c r="E70" i="3" l="1"/>
  <c r="F70" i="3" s="1"/>
  <c r="E71" i="3"/>
  <c r="F71" i="3" s="1"/>
  <c r="E72" i="3"/>
  <c r="F72" i="3" s="1"/>
  <c r="E30" i="3"/>
  <c r="F30" i="3" s="1"/>
  <c r="E35" i="3"/>
  <c r="F35" i="3" s="1"/>
  <c r="E36" i="3" l="1"/>
  <c r="F36" i="3" s="1"/>
  <c r="E50" i="3"/>
  <c r="F50" i="3" s="1"/>
  <c r="D69" i="3" l="1"/>
  <c r="E69" i="3" s="1"/>
  <c r="F69" i="3" s="1"/>
  <c r="E62" i="3"/>
  <c r="F62" i="3" s="1"/>
  <c r="E61" i="3"/>
  <c r="F61" i="3" s="1"/>
  <c r="E55" i="3"/>
  <c r="F55" i="3" s="1"/>
  <c r="E39" i="3"/>
  <c r="F39" i="3" s="1"/>
  <c r="E40" i="3"/>
  <c r="F40" i="3" s="1"/>
  <c r="E51" i="3"/>
  <c r="F51" i="3" s="1"/>
  <c r="E38" i="3"/>
  <c r="F38" i="3" s="1"/>
  <c r="E32" i="3"/>
  <c r="F32" i="3" s="1"/>
  <c r="E31" i="3"/>
  <c r="F31" i="3" s="1"/>
  <c r="E5" i="3"/>
  <c r="F5" i="3" s="1"/>
  <c r="E7" i="3"/>
  <c r="F7" i="3" s="1"/>
  <c r="E26" i="3"/>
  <c r="F26" i="3" s="1"/>
  <c r="E25" i="3"/>
  <c r="F25" i="3" s="1"/>
  <c r="E24" i="3"/>
  <c r="F24" i="3" s="1"/>
  <c r="E18" i="3"/>
  <c r="F18" i="3" s="1"/>
  <c r="E14" i="3"/>
  <c r="F14" i="3" s="1"/>
  <c r="E13" i="3"/>
  <c r="F13" i="3" s="1"/>
  <c r="E11" i="3"/>
  <c r="F11" i="3" s="1"/>
  <c r="E10" i="3"/>
  <c r="F10" i="3" s="1"/>
  <c r="E9" i="3"/>
  <c r="F9" i="3" s="1"/>
  <c r="E8" i="3"/>
  <c r="F8" i="3" s="1"/>
  <c r="E6" i="3"/>
  <c r="F6" i="3" s="1"/>
  <c r="E58" i="3" l="1"/>
  <c r="F58" i="3" s="1"/>
  <c r="E52" i="3"/>
  <c r="F52" i="3" s="1"/>
  <c r="E53" i="3"/>
  <c r="F53" i="3" s="1"/>
  <c r="E48" i="3" l="1"/>
  <c r="F48" i="3" s="1"/>
  <c r="E12" i="3"/>
  <c r="F12" i="3" s="1"/>
  <c r="E37" i="3"/>
  <c r="F37" i="3" s="1"/>
  <c r="E29" i="3"/>
  <c r="F29" i="3" s="1"/>
  <c r="E27" i="3"/>
  <c r="F27" i="3" s="1"/>
  <c r="C30" i="2" l="1"/>
  <c r="D30" i="2" s="1"/>
  <c r="D67" i="3" l="1"/>
  <c r="E67" i="3" s="1"/>
  <c r="F67" i="3" s="1"/>
  <c r="C5" i="2"/>
  <c r="C14" i="2" s="1"/>
  <c r="D5" i="2" l="1"/>
  <c r="D14" i="2" l="1"/>
  <c r="C17" i="2"/>
  <c r="D17" i="2" l="1"/>
  <c r="D65" i="3"/>
  <c r="D66" i="3" l="1"/>
  <c r="E65" i="3"/>
  <c r="F65" i="3" s="1"/>
  <c r="D24" i="2"/>
  <c r="D68" i="3" l="1"/>
  <c r="E66" i="3"/>
  <c r="F66" i="3" s="1"/>
  <c r="D75" i="3" l="1"/>
  <c r="E75" i="3" s="1"/>
  <c r="F75" i="3" s="1"/>
  <c r="E76" i="3"/>
  <c r="F76" i="3" s="1"/>
  <c r="D73" i="3"/>
  <c r="E68" i="3"/>
  <c r="F68" i="3" s="1"/>
  <c r="E73" i="3" l="1"/>
  <c r="F73" i="3" s="1"/>
</calcChain>
</file>

<file path=xl/sharedStrings.xml><?xml version="1.0" encoding="utf-8"?>
<sst xmlns="http://schemas.openxmlformats.org/spreadsheetml/2006/main" count="221" uniqueCount="183">
  <si>
    <t>15 процентов от суммы арендных поступлений</t>
  </si>
  <si>
    <t>в том числе:</t>
  </si>
  <si>
    <t>Вид затрат</t>
  </si>
  <si>
    <t>наименование услуг</t>
  </si>
  <si>
    <t>№ п/п</t>
  </si>
  <si>
    <t>страхование лифтов</t>
  </si>
  <si>
    <t>Налог по системе УСН (1% от поступлений ден.ср-в, за исключением ср-в на вознагрждение УК)</t>
  </si>
  <si>
    <t>В среднем за 1 месяц</t>
  </si>
  <si>
    <t>т/о домофонной системы</t>
  </si>
  <si>
    <t>всего получено за все услуги</t>
  </si>
  <si>
    <t>техническое освидетельствование</t>
  </si>
  <si>
    <t>Работы по содержанию оборудования и систем инженерно-технического обеспечения</t>
  </si>
  <si>
    <t>налоги с оплаты труда</t>
  </si>
  <si>
    <t>Работы по содержанию несущих и ненесущих конструкций</t>
  </si>
  <si>
    <t>1.1</t>
  </si>
  <si>
    <t>1.2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</si>
  <si>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</si>
  <si>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</si>
  <si>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</si>
  <si>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</si>
  <si>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</si>
  <si>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</si>
  <si>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</si>
  <si>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</si>
  <si>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</si>
  <si>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</si>
  <si>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</si>
  <si>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</si>
  <si>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</si>
  <si>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4.3</t>
  </si>
  <si>
    <t>4.4</t>
  </si>
  <si>
    <t>4.7</t>
  </si>
  <si>
    <t>Работы по содержанию помещений, входящих в состав МКД</t>
  </si>
  <si>
    <t>5.1</t>
  </si>
  <si>
    <t>5.2</t>
  </si>
  <si>
    <t>5.3</t>
  </si>
  <si>
    <t>5.4</t>
  </si>
  <si>
    <t>5.6</t>
  </si>
  <si>
    <t>5.7</t>
  </si>
  <si>
    <t>6.1</t>
  </si>
  <si>
    <t>6.2</t>
  </si>
  <si>
    <t>Работы по содержанию земельного участка с элементами благоустройства</t>
  </si>
  <si>
    <t>7.1</t>
  </si>
  <si>
    <t>Проведение дератизации и дезинсекции</t>
  </si>
  <si>
    <t>14.1</t>
  </si>
  <si>
    <t>14.2</t>
  </si>
  <si>
    <t>14.3</t>
  </si>
  <si>
    <t>Итого всех затрат по дому</t>
  </si>
  <si>
    <t>5.8</t>
  </si>
  <si>
    <t>5.9</t>
  </si>
  <si>
    <t>Кирова, 30</t>
  </si>
  <si>
    <t>т/о системы видеонаблюдения</t>
  </si>
  <si>
    <t>Начислено поставщикам коммунальных услуг</t>
  </si>
  <si>
    <t>1.3</t>
  </si>
  <si>
    <t>1.4</t>
  </si>
  <si>
    <t>1.5</t>
  </si>
  <si>
    <t>на 1 кв.м. в месяц</t>
  </si>
  <si>
    <t>расходные уборочные материалы</t>
  </si>
  <si>
    <t>начислено поставщикам (исполнителям услуг)</t>
  </si>
  <si>
    <t>начислено заказчикам (потребителям услуг)</t>
  </si>
  <si>
    <t>оплачено заказчиками (потребителям услуг)</t>
  </si>
  <si>
    <t>прочие услуги</t>
  </si>
  <si>
    <t>всего начислено за все услуги</t>
  </si>
  <si>
    <t>пеня начисленная</t>
  </si>
  <si>
    <t>8.1</t>
  </si>
  <si>
    <t>20 процентов от суммы поступлений от собственников за техническое содержание</t>
  </si>
  <si>
    <t>Безопасность дома</t>
  </si>
  <si>
    <t>круглосуточный пост охраны (с функциями аварийно-диспетчерской службы)</t>
  </si>
  <si>
    <t>Содержание и ремонт лифтов</t>
  </si>
  <si>
    <t>техническое и аварийное обслуживание</t>
  </si>
  <si>
    <t>работы по надлежащему содержанию электрооборудования</t>
  </si>
  <si>
    <t>работы по надлежащему содержаню системы водоснабжения, отопления и водоотведения</t>
  </si>
  <si>
    <t>работы по контролю за работой оборудования и систем ИТО</t>
  </si>
  <si>
    <t>контроль и проверка состояния конструктивных элементов</t>
  </si>
  <si>
    <t>работы по уборке помещений, входящих в состав общего имущества</t>
  </si>
  <si>
    <t>работы по содержанию помещений, входящих в состав общего имущества</t>
  </si>
  <si>
    <t>магнитные ключи</t>
  </si>
  <si>
    <t>уборка придомовой территории</t>
  </si>
  <si>
    <t>холодное водоснабжение</t>
  </si>
  <si>
    <t>водоотведение</t>
  </si>
  <si>
    <t>электропотребление</t>
  </si>
  <si>
    <t>начислено арендаторам МОП</t>
  </si>
  <si>
    <t>всего получено от собственников и арендаторов</t>
  </si>
  <si>
    <t>поступления от арендаторов МОП</t>
  </si>
  <si>
    <t>расчет затрат на управление</t>
  </si>
  <si>
    <t>всего затрат на управление</t>
  </si>
  <si>
    <t>всего начислено от собственников и арендаторов</t>
  </si>
  <si>
    <t>вывоз бытовых отходов</t>
  </si>
  <si>
    <t>материалы на благоустройство</t>
  </si>
  <si>
    <t>замена светильников в холлах (материалы-плита потолочная)</t>
  </si>
  <si>
    <t>3.9</t>
  </si>
  <si>
    <t>3.10</t>
  </si>
  <si>
    <t>3.11</t>
  </si>
  <si>
    <t>3.12</t>
  </si>
  <si>
    <t>3.13</t>
  </si>
  <si>
    <t>3.14</t>
  </si>
  <si>
    <t>5.10</t>
  </si>
  <si>
    <t>5.11</t>
  </si>
  <si>
    <t>5.13</t>
  </si>
  <si>
    <t>6.4</t>
  </si>
  <si>
    <t>Бытовые отходы</t>
  </si>
  <si>
    <t>7.2</t>
  </si>
  <si>
    <t>8.2</t>
  </si>
  <si>
    <t>8.3</t>
  </si>
  <si>
    <t>ИП Подборцева Н.А.</t>
  </si>
  <si>
    <t>ИП Ильиных Н.Л.</t>
  </si>
  <si>
    <t>Вымпел-Коммуникации</t>
  </si>
  <si>
    <t>прочие электротовары</t>
  </si>
  <si>
    <t>3.15</t>
  </si>
  <si>
    <t>5.14</t>
  </si>
  <si>
    <t>4.2</t>
  </si>
  <si>
    <t>ремонт кровли</t>
  </si>
  <si>
    <t>всего получено за коммунальные услуги</t>
  </si>
  <si>
    <t>10.1</t>
  </si>
  <si>
    <t>10.2</t>
  </si>
  <si>
    <t>пеня оплаченная</t>
  </si>
  <si>
    <t>всего начислено за коммунальные услуги</t>
  </si>
  <si>
    <t>расходы 2017</t>
  </si>
  <si>
    <t>доходы 2017</t>
  </si>
  <si>
    <t>Сумма за год, руб.</t>
  </si>
  <si>
    <t>оплачено за год, руб.</t>
  </si>
  <si>
    <t>работа по полной замене системы освещения в холлах 3,4, 13-19 этажей, на обоих лестницах</t>
  </si>
  <si>
    <t>расходные слесарные и прочие материалы</t>
  </si>
  <si>
    <t>работы по ремонту телевизионного оборудования</t>
  </si>
  <si>
    <t>материалы по ремонту телевизионного оборудования</t>
  </si>
  <si>
    <t>прочистка канализационных труб</t>
  </si>
  <si>
    <t>электротовары (лампы светодиодные)</t>
  </si>
  <si>
    <t>водонагреватель для уборщиц</t>
  </si>
  <si>
    <t>работы по переустройству системы водоснабжения в водомерном узле</t>
  </si>
  <si>
    <t>материалы по переустройству системы водоснабжения в водомерном узле и пр. сантехнические материалы</t>
  </si>
  <si>
    <t>работы по благоустройству (установка перил в входной лестничной группе, опор для парковки)</t>
  </si>
  <si>
    <t>работы по расчистке шахты пожарной вентиляции</t>
  </si>
  <si>
    <t>ремонт системы дымоудаления и вентиляции</t>
  </si>
  <si>
    <t>ремонт лифтов (диспетчеризация)</t>
  </si>
  <si>
    <t>материалы по замене решеток</t>
  </si>
  <si>
    <t>работы по замене деформированных ветром вентиляционных решеток на крыше</t>
  </si>
  <si>
    <r>
      <t xml:space="preserve">работы по косметическому ремонту </t>
    </r>
    <r>
      <rPr>
        <sz val="8"/>
        <rFont val="Courier New"/>
        <family val="3"/>
        <charset val="204"/>
      </rPr>
      <t>(покраска холла 1 эт, локальная покраска холлов 6, 8, 14, 16 эт., стен парадной лестницы 12/13, 13/14, 15/16, 16/17 эт., покраске стен балконов 9-11, 14 эт., зачитски стен от грибка лестница 0/1 эт, 19 эт, ремонт короба из ГКЛ эл.сч. 2 эт.,  ремонт двери на тех. 20 этаже, установке 2-х водостоков на 1 эт., ремонт навесов)</t>
    </r>
  </si>
  <si>
    <t>ремонт двери</t>
  </si>
  <si>
    <t>водоотведение СОИ</t>
  </si>
  <si>
    <t>получено за содержание и за аренду МОП</t>
  </si>
  <si>
    <t>в том числе начислено за содержание и арендаторам МОП</t>
  </si>
  <si>
    <t>начислено за год, руб.</t>
  </si>
  <si>
    <t>Потери по электроснабжению</t>
  </si>
  <si>
    <t>9.1.</t>
  </si>
  <si>
    <t>9.2.</t>
  </si>
  <si>
    <t>потери за трансформацию тока</t>
  </si>
  <si>
    <t>сверхнормативные СОИ</t>
  </si>
  <si>
    <t>8А</t>
  </si>
  <si>
    <t>в том числе элекропотребление</t>
  </si>
  <si>
    <t>итого поступления от арендаторов за минусом потребленной электроэнергии</t>
  </si>
  <si>
    <t>содержание</t>
  </si>
  <si>
    <t>в том числе потреблено электроэнергии</t>
  </si>
  <si>
    <t>итого начислено арендаторам за минусом электроэнергии</t>
  </si>
  <si>
    <t>1.6</t>
  </si>
  <si>
    <t>разница в авансах 01.01.17-01.01.18</t>
  </si>
  <si>
    <t>дополнительные услуги</t>
  </si>
  <si>
    <t>всего получено за содержание, коммунальные и доп. услуги</t>
  </si>
  <si>
    <t>электропотребление СОИ</t>
  </si>
  <si>
    <t>холодное водоснабжение СОИ</t>
  </si>
  <si>
    <t>энергоаудит</t>
  </si>
  <si>
    <t>документы согласований с МУП Водоканал</t>
  </si>
  <si>
    <t>3.16</t>
  </si>
  <si>
    <t>4.5</t>
  </si>
  <si>
    <t>4.6</t>
  </si>
  <si>
    <t>5.5</t>
  </si>
  <si>
    <t>5.12</t>
  </si>
  <si>
    <t>6.3</t>
  </si>
  <si>
    <t>6.5</t>
  </si>
  <si>
    <t>материалы по проведенному косметическому ремонту</t>
  </si>
  <si>
    <t>спецодежда уборщиц</t>
  </si>
  <si>
    <t>замена светильников в холлах и на лестницах (материалы-светильники)</t>
  </si>
  <si>
    <t>замена светильников в холлах и на лестницах (расходные материалы: клеммы, провод и пр.)</t>
  </si>
  <si>
    <t>содержание придомовой территории и зеленых насаждений</t>
  </si>
  <si>
    <t>ремонт контейнеров  (колеса поворотные и пр.)</t>
  </si>
  <si>
    <t>ИТОГО РАСХОДЫ НА СОДЕРЖАНИЕ БЕЗ РАСХОДОВ НА УПРАВЛЕНИЕ</t>
  </si>
  <si>
    <t>Расходы на управление (20% от суммы поступлений за оплату содержания, 15% от суммы поступлений за аренду мест общего пользования)</t>
  </si>
  <si>
    <t>ИТОГО РАСХОДЫ НА СОДЕРЖАНИЕ</t>
  </si>
  <si>
    <t>электропотребление (за минусом потерь, верхнорматива, эл/эн арендаторов)</t>
  </si>
  <si>
    <t>справочно:</t>
  </si>
  <si>
    <t>16.1</t>
  </si>
  <si>
    <t>16.2</t>
  </si>
  <si>
    <t>16.3</t>
  </si>
  <si>
    <t xml:space="preserve">электропотребление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</si>
</sst>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Courier New"/>
      <family val="3"/>
      <charset val="204"/>
    </font>
    <font>
      <sz val="12"/>
      <name val="Courier New"/>
      <family val="3"/>
      <charset val="204"/>
    </font>
    <font>
      <b/>
      <i/>
      <sz val="12"/>
      <name val="Courier New"/>
      <family val="3"/>
      <charset val="204"/>
    </font>
    <font>
      <sz val="12"/>
      <color theme="1"/>
      <name val="Courier New"/>
      <family val="3"/>
      <charset val="204"/>
    </font>
    <font>
      <b/>
      <sz val="12"/>
      <color theme="1"/>
      <name val="Courier New"/>
      <family val="3"/>
      <charset val="204"/>
    </font>
    <font>
      <i/>
      <sz val="12"/>
      <name val="Courier New"/>
      <family val="3"/>
      <charset val="204"/>
    </font>
    <font>
      <sz val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1" applyNumberFormat="1" applyFont="1" applyFill="1" applyBorder="1" applyAlignment="1">
      <alignment horizontal="left" vertical="top" wrapText="1"/>
    </xf>
    <xf numFmtId="0" fontId="3" fillId="0" borderId="3" xfId="1" applyNumberFormat="1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/>
    <xf numFmtId="164" fontId="6" fillId="0" borderId="1" xfId="0" applyNumberFormat="1" applyFont="1" applyBorder="1"/>
    <xf numFmtId="164" fontId="5" fillId="0" borderId="0" xfId="0" applyNumberFormat="1" applyFont="1"/>
    <xf numFmtId="164" fontId="3" fillId="0" borderId="0" xfId="0" applyNumberFormat="1" applyFont="1" applyFill="1"/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/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wrapText="1"/>
    </xf>
    <xf numFmtId="164" fontId="5" fillId="0" borderId="7" xfId="0" applyNumberFormat="1" applyFont="1" applyBorder="1"/>
    <xf numFmtId="164" fontId="6" fillId="0" borderId="5" xfId="0" applyNumberFormat="1" applyFont="1" applyFill="1" applyBorder="1"/>
    <xf numFmtId="0" fontId="3" fillId="0" borderId="2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/>
    <xf numFmtId="164" fontId="5" fillId="0" borderId="6" xfId="0" applyNumberFormat="1" applyFont="1" applyFill="1" applyBorder="1"/>
    <xf numFmtId="164" fontId="6" fillId="0" borderId="7" xfId="0" applyNumberFormat="1" applyFont="1" applyBorder="1"/>
    <xf numFmtId="164" fontId="6" fillId="0" borderId="8" xfId="0" applyNumberFormat="1" applyFont="1" applyBorder="1"/>
    <xf numFmtId="165" fontId="3" fillId="0" borderId="0" xfId="0" applyNumberFormat="1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164" fontId="6" fillId="0" borderId="1" xfId="0" applyNumberFormat="1" applyFont="1" applyFill="1" applyBorder="1"/>
    <xf numFmtId="0" fontId="4" fillId="0" borderId="2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165" fontId="5" fillId="0" borderId="6" xfId="0" applyNumberFormat="1" applyFont="1" applyBorder="1"/>
    <xf numFmtId="0" fontId="4" fillId="0" borderId="2" xfId="1" applyNumberFormat="1" applyFont="1" applyFill="1" applyBorder="1" applyAlignment="1">
      <alignment horizontal="left" vertical="top" wrapText="1"/>
    </xf>
    <xf numFmtId="0" fontId="5" fillId="0" borderId="9" xfId="0" applyFont="1" applyBorder="1" applyAlignment="1">
      <alignment wrapText="1"/>
    </xf>
    <xf numFmtId="164" fontId="5" fillId="0" borderId="6" xfId="0" applyNumberFormat="1" applyFont="1" applyBorder="1"/>
    <xf numFmtId="0" fontId="6" fillId="0" borderId="10" xfId="0" applyFont="1" applyBorder="1" applyAlignment="1">
      <alignment wrapText="1"/>
    </xf>
    <xf numFmtId="165" fontId="5" fillId="0" borderId="7" xfId="0" applyNumberFormat="1" applyFont="1" applyBorder="1"/>
    <xf numFmtId="164" fontId="6" fillId="0" borderId="6" xfId="0" applyNumberFormat="1" applyFont="1" applyBorder="1"/>
    <xf numFmtId="165" fontId="6" fillId="0" borderId="3" xfId="0" applyNumberFormat="1" applyFont="1" applyBorder="1"/>
    <xf numFmtId="164" fontId="5" fillId="0" borderId="11" xfId="0" applyNumberFormat="1" applyFont="1" applyBorder="1"/>
    <xf numFmtId="164" fontId="2" fillId="0" borderId="5" xfId="0" applyNumberFormat="1" applyFont="1" applyBorder="1"/>
    <xf numFmtId="49" fontId="5" fillId="0" borderId="6" xfId="0" applyNumberFormat="1" applyFont="1" applyBorder="1"/>
    <xf numFmtId="0" fontId="6" fillId="0" borderId="11" xfId="0" applyFont="1" applyBorder="1"/>
    <xf numFmtId="0" fontId="6" fillId="0" borderId="12" xfId="0" applyFont="1" applyBorder="1" applyAlignment="1">
      <alignment wrapText="1"/>
    </xf>
    <xf numFmtId="165" fontId="5" fillId="0" borderId="13" xfId="0" applyNumberFormat="1" applyFont="1" applyBorder="1"/>
    <xf numFmtId="0" fontId="5" fillId="0" borderId="3" xfId="0" applyFont="1" applyBorder="1"/>
    <xf numFmtId="164" fontId="6" fillId="0" borderId="6" xfId="0" applyNumberFormat="1" applyFont="1" applyFill="1" applyBorder="1"/>
    <xf numFmtId="16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left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left" vertical="top" wrapText="1"/>
    </xf>
    <xf numFmtId="0" fontId="2" fillId="0" borderId="3" xfId="1" applyNumberFormat="1" applyFont="1" applyFill="1" applyBorder="1" applyAlignment="1">
      <alignment horizontal="left" vertical="top" wrapText="1"/>
    </xf>
    <xf numFmtId="0" fontId="2" fillId="0" borderId="4" xfId="1" applyNumberFormat="1" applyFont="1" applyFill="1" applyBorder="1" applyAlignment="1">
      <alignment horizontal="center" wrapText="1"/>
    </xf>
    <xf numFmtId="0" fontId="2" fillId="0" borderId="0" xfId="1" applyNumberFormat="1" applyFont="1" applyFill="1" applyBorder="1" applyAlignment="1">
      <alignment horizontal="center" wrapText="1"/>
    </xf>
    <xf numFmtId="0" fontId="2" fillId="0" borderId="0" xfId="1" applyNumberFormat="1" applyFont="1" applyFill="1" applyAlignment="1">
      <alignment horizont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workbookViewId="0">
      <selection activeCell="G1" sqref="G1"/>
    </sheetView>
  </sheetViews>
  <sheetFormatPr defaultRowHeight="15.75" x14ac:dyDescent="0.25"/>
  <cols>
    <col min="1" max="1" width="7.7109375" style="1" customWidth="1"/>
    <col min="2" max="2" width="6.7109375" style="2" customWidth="1"/>
    <col min="3" max="3" width="60.7109375" style="2" customWidth="1"/>
    <col min="4" max="4" width="18.7109375" style="21" customWidth="1"/>
    <col min="5" max="5" width="16.7109375" style="21" customWidth="1"/>
    <col min="6" max="6" width="11.28515625" style="41" customWidth="1"/>
    <col min="7" max="16384" width="9.140625" style="2"/>
  </cols>
  <sheetData>
    <row r="1" spans="1:6" ht="16.5" customHeight="1" x14ac:dyDescent="0.3">
      <c r="A1" s="74" t="s">
        <v>117</v>
      </c>
      <c r="B1" s="74"/>
      <c r="C1" s="74"/>
      <c r="D1" s="74"/>
      <c r="E1" s="74"/>
      <c r="F1" s="74"/>
    </row>
    <row r="2" spans="1:6" ht="16.5" customHeight="1" x14ac:dyDescent="0.3">
      <c r="A2" s="73" t="s">
        <v>50</v>
      </c>
      <c r="B2" s="73"/>
      <c r="C2" s="73"/>
      <c r="D2" s="73"/>
      <c r="E2" s="73"/>
      <c r="F2" s="73"/>
    </row>
    <row r="3" spans="1:6" ht="16.5" x14ac:dyDescent="0.3">
      <c r="A3" s="72" t="s">
        <v>58</v>
      </c>
      <c r="B3" s="72"/>
      <c r="C3" s="72"/>
      <c r="D3" s="72"/>
      <c r="E3" s="72"/>
      <c r="F3" s="72"/>
    </row>
    <row r="4" spans="1:6" s="5" customFormat="1" ht="47.25" x14ac:dyDescent="0.25">
      <c r="A4" s="4" t="s">
        <v>4</v>
      </c>
      <c r="B4" s="75" t="s">
        <v>2</v>
      </c>
      <c r="C4" s="75"/>
      <c r="D4" s="25" t="s">
        <v>119</v>
      </c>
      <c r="E4" s="26" t="s">
        <v>7</v>
      </c>
      <c r="F4" s="42" t="s">
        <v>56</v>
      </c>
    </row>
    <row r="5" spans="1:6" ht="16.5" x14ac:dyDescent="0.25">
      <c r="A5" s="22">
        <v>1</v>
      </c>
      <c r="B5" s="76" t="s">
        <v>66</v>
      </c>
      <c r="C5" s="76"/>
      <c r="D5" s="27">
        <f>SUM(D6:D6)</f>
        <v>1404000</v>
      </c>
      <c r="E5" s="30">
        <f>D5/12</f>
        <v>117000</v>
      </c>
      <c r="F5" s="43">
        <f>E5/14352</f>
        <v>8.1521739130434785</v>
      </c>
    </row>
    <row r="6" spans="1:6" ht="31.5" x14ac:dyDescent="0.25">
      <c r="A6" s="36" t="s">
        <v>14</v>
      </c>
      <c r="B6" s="6"/>
      <c r="C6" s="7" t="s">
        <v>67</v>
      </c>
      <c r="D6" s="28">
        <v>1404000</v>
      </c>
      <c r="E6" s="30">
        <f t="shared" ref="E6:E37" si="0">D6/12</f>
        <v>117000</v>
      </c>
      <c r="F6" s="43">
        <f t="shared" ref="F6:F62" si="1">E6/14352</f>
        <v>8.1521739130434785</v>
      </c>
    </row>
    <row r="7" spans="1:6" ht="16.5" x14ac:dyDescent="0.25">
      <c r="A7" s="22">
        <v>2</v>
      </c>
      <c r="B7" s="76" t="s">
        <v>68</v>
      </c>
      <c r="C7" s="76"/>
      <c r="D7" s="27">
        <f>SUM(D8:D11)</f>
        <v>452363</v>
      </c>
      <c r="E7" s="30">
        <f t="shared" si="0"/>
        <v>37696.916666666664</v>
      </c>
      <c r="F7" s="43">
        <f t="shared" si="1"/>
        <v>2.626596757710888</v>
      </c>
    </row>
    <row r="8" spans="1:6" ht="18" customHeight="1" x14ac:dyDescent="0.25">
      <c r="A8" s="36" t="s">
        <v>16</v>
      </c>
      <c r="B8" s="6"/>
      <c r="C8" s="7" t="s">
        <v>69</v>
      </c>
      <c r="D8" s="28">
        <v>288000</v>
      </c>
      <c r="E8" s="30">
        <f t="shared" si="0"/>
        <v>24000</v>
      </c>
      <c r="F8" s="43">
        <f t="shared" si="1"/>
        <v>1.6722408026755853</v>
      </c>
    </row>
    <row r="9" spans="1:6" ht="16.5" x14ac:dyDescent="0.25">
      <c r="A9" s="36" t="s">
        <v>17</v>
      </c>
      <c r="B9" s="6"/>
      <c r="C9" s="7" t="s">
        <v>133</v>
      </c>
      <c r="D9" s="28">
        <v>135000</v>
      </c>
      <c r="E9" s="30">
        <f t="shared" si="0"/>
        <v>11250</v>
      </c>
      <c r="F9" s="43">
        <f t="shared" si="1"/>
        <v>0.78386287625418061</v>
      </c>
    </row>
    <row r="10" spans="1:6" ht="16.5" x14ac:dyDescent="0.25">
      <c r="A10" s="36" t="s">
        <v>18</v>
      </c>
      <c r="B10" s="6"/>
      <c r="C10" s="7" t="s">
        <v>10</v>
      </c>
      <c r="D10" s="28">
        <v>28500</v>
      </c>
      <c r="E10" s="30">
        <f t="shared" si="0"/>
        <v>2375</v>
      </c>
      <c r="F10" s="43">
        <f t="shared" si="1"/>
        <v>0.16548216276477146</v>
      </c>
    </row>
    <row r="11" spans="1:6" ht="16.5" x14ac:dyDescent="0.25">
      <c r="A11" s="36" t="s">
        <v>19</v>
      </c>
      <c r="B11" s="6"/>
      <c r="C11" s="7" t="s">
        <v>5</v>
      </c>
      <c r="D11" s="28">
        <v>863</v>
      </c>
      <c r="E11" s="30">
        <f t="shared" si="0"/>
        <v>71.916666666666671</v>
      </c>
      <c r="F11" s="43">
        <f t="shared" si="1"/>
        <v>5.010916016350799E-3</v>
      </c>
    </row>
    <row r="12" spans="1:6" ht="33" customHeight="1" x14ac:dyDescent="0.25">
      <c r="A12" s="22">
        <v>3</v>
      </c>
      <c r="B12" s="76" t="s">
        <v>11</v>
      </c>
      <c r="C12" s="76"/>
      <c r="D12" s="27">
        <f>SUM(D13:D28)</f>
        <v>740710.15130399994</v>
      </c>
      <c r="E12" s="30">
        <f t="shared" si="0"/>
        <v>61725.845941999993</v>
      </c>
      <c r="F12" s="43">
        <f t="shared" si="1"/>
        <v>4.300853256828316</v>
      </c>
    </row>
    <row r="13" spans="1:6" ht="16.5" x14ac:dyDescent="0.25">
      <c r="A13" s="36" t="s">
        <v>20</v>
      </c>
      <c r="B13" s="6"/>
      <c r="C13" s="7" t="s">
        <v>51</v>
      </c>
      <c r="D13" s="28">
        <v>102000</v>
      </c>
      <c r="E13" s="30">
        <f t="shared" si="0"/>
        <v>8500</v>
      </c>
      <c r="F13" s="43">
        <f t="shared" si="1"/>
        <v>0.59225195094760308</v>
      </c>
    </row>
    <row r="14" spans="1:6" ht="16.5" x14ac:dyDescent="0.25">
      <c r="A14" s="36" t="s">
        <v>21</v>
      </c>
      <c r="B14" s="6"/>
      <c r="C14" s="7" t="s">
        <v>8</v>
      </c>
      <c r="D14" s="28">
        <v>45000</v>
      </c>
      <c r="E14" s="30">
        <f t="shared" ref="E14:E21" si="2">D14/12</f>
        <v>3750</v>
      </c>
      <c r="F14" s="43">
        <f t="shared" si="1"/>
        <v>0.26128762541806022</v>
      </c>
    </row>
    <row r="15" spans="1:6" ht="31.5" x14ac:dyDescent="0.25">
      <c r="A15" s="36" t="s">
        <v>22</v>
      </c>
      <c r="B15" s="6"/>
      <c r="C15" s="7" t="s">
        <v>123</v>
      </c>
      <c r="D15" s="28">
        <v>1150</v>
      </c>
      <c r="E15" s="30">
        <f t="shared" si="2"/>
        <v>95.833333333333329</v>
      </c>
      <c r="F15" s="43">
        <f t="shared" si="1"/>
        <v>6.677350427350427E-3</v>
      </c>
    </row>
    <row r="16" spans="1:6" ht="31.5" x14ac:dyDescent="0.25">
      <c r="A16" s="36" t="s">
        <v>23</v>
      </c>
      <c r="B16" s="6"/>
      <c r="C16" s="7" t="s">
        <v>124</v>
      </c>
      <c r="D16" s="28">
        <v>9003</v>
      </c>
      <c r="E16" s="30">
        <f t="shared" si="2"/>
        <v>750.25</v>
      </c>
      <c r="F16" s="43">
        <f t="shared" si="1"/>
        <v>5.2274944258639912E-2</v>
      </c>
    </row>
    <row r="17" spans="1:6" ht="16.5" x14ac:dyDescent="0.25">
      <c r="A17" s="36" t="s">
        <v>24</v>
      </c>
      <c r="B17" s="6"/>
      <c r="C17" s="7" t="s">
        <v>125</v>
      </c>
      <c r="D17" s="28">
        <v>12000</v>
      </c>
      <c r="E17" s="30">
        <f t="shared" si="2"/>
        <v>1000</v>
      </c>
      <c r="F17" s="43">
        <f t="shared" si="1"/>
        <v>6.967670011148272E-2</v>
      </c>
    </row>
    <row r="18" spans="1:6" ht="16.5" x14ac:dyDescent="0.25">
      <c r="A18" s="36" t="s">
        <v>25</v>
      </c>
      <c r="B18" s="6"/>
      <c r="C18" s="7" t="s">
        <v>132</v>
      </c>
      <c r="D18" s="28">
        <v>55000</v>
      </c>
      <c r="E18" s="30">
        <f t="shared" si="2"/>
        <v>4583.333333333333</v>
      </c>
      <c r="F18" s="43">
        <f t="shared" si="1"/>
        <v>0.31935154217762912</v>
      </c>
    </row>
    <row r="19" spans="1:6" ht="31.5" x14ac:dyDescent="0.25">
      <c r="A19" s="36" t="s">
        <v>26</v>
      </c>
      <c r="B19" s="6"/>
      <c r="C19" s="7" t="s">
        <v>131</v>
      </c>
      <c r="D19" s="28">
        <v>17235</v>
      </c>
      <c r="E19" s="30">
        <f t="shared" ref="E19" si="3">D19/12</f>
        <v>1436.25</v>
      </c>
      <c r="F19" s="43">
        <f>E19/14352</f>
        <v>0.10007316053511706</v>
      </c>
    </row>
    <row r="20" spans="1:6" ht="16.5" x14ac:dyDescent="0.25">
      <c r="A20" s="36" t="s">
        <v>27</v>
      </c>
      <c r="B20" s="6"/>
      <c r="C20" s="7" t="s">
        <v>159</v>
      </c>
      <c r="D20" s="28">
        <v>11880</v>
      </c>
      <c r="E20" s="30">
        <f t="shared" si="2"/>
        <v>990</v>
      </c>
      <c r="F20" s="43">
        <f t="shared" si="1"/>
        <v>6.8979933110367889E-2</v>
      </c>
    </row>
    <row r="21" spans="1:6" ht="16.5" x14ac:dyDescent="0.25">
      <c r="A21" s="36" t="s">
        <v>90</v>
      </c>
      <c r="B21" s="6"/>
      <c r="C21" s="7" t="s">
        <v>160</v>
      </c>
      <c r="D21" s="28">
        <v>3608</v>
      </c>
      <c r="E21" s="30">
        <f t="shared" si="2"/>
        <v>300.66666666666669</v>
      </c>
      <c r="F21" s="43">
        <f t="shared" si="1"/>
        <v>2.0949461166852472E-2</v>
      </c>
    </row>
    <row r="22" spans="1:6" ht="31.5" x14ac:dyDescent="0.25">
      <c r="A22" s="36" t="s">
        <v>91</v>
      </c>
      <c r="B22" s="6"/>
      <c r="C22" s="7" t="s">
        <v>128</v>
      </c>
      <c r="D22" s="28">
        <v>5750</v>
      </c>
      <c r="E22" s="30">
        <f>D22/12</f>
        <v>479.16666666666669</v>
      </c>
      <c r="F22" s="43">
        <f>E22/14352</f>
        <v>3.3386752136752136E-2</v>
      </c>
    </row>
    <row r="23" spans="1:6" ht="47.25" x14ac:dyDescent="0.25">
      <c r="A23" s="36" t="s">
        <v>92</v>
      </c>
      <c r="B23" s="6"/>
      <c r="C23" s="7" t="s">
        <v>129</v>
      </c>
      <c r="D23" s="28">
        <v>9284</v>
      </c>
      <c r="E23" s="30">
        <f>D23/12</f>
        <v>773.66666666666663</v>
      </c>
      <c r="F23" s="43">
        <f>E23/14352</f>
        <v>5.3906540319583793E-2</v>
      </c>
    </row>
    <row r="24" spans="1:6" ht="31.5" x14ac:dyDescent="0.25">
      <c r="A24" s="36" t="s">
        <v>93</v>
      </c>
      <c r="B24" s="6"/>
      <c r="C24" s="7" t="s">
        <v>70</v>
      </c>
      <c r="D24" s="28">
        <v>95344</v>
      </c>
      <c r="E24" s="30">
        <f t="shared" si="0"/>
        <v>7945.333333333333</v>
      </c>
      <c r="F24" s="43">
        <f t="shared" si="1"/>
        <v>0.55360460795243405</v>
      </c>
    </row>
    <row r="25" spans="1:6" ht="31.5" x14ac:dyDescent="0.25">
      <c r="A25" s="36" t="s">
        <v>94</v>
      </c>
      <c r="B25" s="6"/>
      <c r="C25" s="7" t="s">
        <v>71</v>
      </c>
      <c r="D25" s="28">
        <v>95344</v>
      </c>
      <c r="E25" s="30">
        <f t="shared" si="0"/>
        <v>7945.333333333333</v>
      </c>
      <c r="F25" s="43">
        <f t="shared" si="1"/>
        <v>0.55360460795243405</v>
      </c>
    </row>
    <row r="26" spans="1:6" ht="31.5" x14ac:dyDescent="0.25">
      <c r="A26" s="36" t="s">
        <v>95</v>
      </c>
      <c r="B26" s="6"/>
      <c r="C26" s="7" t="s">
        <v>72</v>
      </c>
      <c r="D26" s="28">
        <f>247877*0.6</f>
        <v>148726.19999999998</v>
      </c>
      <c r="E26" s="30">
        <f t="shared" si="0"/>
        <v>12393.849999999999</v>
      </c>
      <c r="F26" s="43">
        <f t="shared" si="1"/>
        <v>0.86356256967669998</v>
      </c>
    </row>
    <row r="27" spans="1:6" ht="16.5" x14ac:dyDescent="0.25">
      <c r="A27" s="36" t="s">
        <v>108</v>
      </c>
      <c r="B27" s="6"/>
      <c r="C27" s="7" t="s">
        <v>12</v>
      </c>
      <c r="D27" s="28">
        <f>D15*0.273+D24*0.369933+D25*0.369933+D22*0.273+D19*0.273+D26*0.302</f>
        <v>122045.95130399999</v>
      </c>
      <c r="E27" s="30">
        <f t="shared" si="0"/>
        <v>10170.495942</v>
      </c>
      <c r="F27" s="43">
        <f t="shared" si="1"/>
        <v>0.70864659573578592</v>
      </c>
    </row>
    <row r="28" spans="1:6" ht="16.5" x14ac:dyDescent="0.25">
      <c r="A28" s="36" t="s">
        <v>161</v>
      </c>
      <c r="B28" s="6"/>
      <c r="C28" s="7" t="s">
        <v>127</v>
      </c>
      <c r="D28" s="28">
        <v>7340</v>
      </c>
      <c r="E28" s="30">
        <f t="shared" ref="E28" si="4">D28/12</f>
        <v>611.66666666666663</v>
      </c>
      <c r="F28" s="43">
        <f t="shared" si="1"/>
        <v>4.2618914901523593E-2</v>
      </c>
    </row>
    <row r="29" spans="1:6" ht="33" customHeight="1" x14ac:dyDescent="0.25">
      <c r="A29" s="22">
        <v>4</v>
      </c>
      <c r="B29" s="76" t="s">
        <v>13</v>
      </c>
      <c r="C29" s="76"/>
      <c r="D29" s="27">
        <f>SUM(D30:D36)</f>
        <v>396196.25760000001</v>
      </c>
      <c r="E29" s="30">
        <f t="shared" si="0"/>
        <v>33016.354800000001</v>
      </c>
      <c r="F29" s="43">
        <f t="shared" si="1"/>
        <v>2.3004706521739133</v>
      </c>
    </row>
    <row r="30" spans="1:6" ht="16.5" x14ac:dyDescent="0.25">
      <c r="A30" s="36" t="s">
        <v>28</v>
      </c>
      <c r="B30" s="6"/>
      <c r="C30" s="7" t="s">
        <v>111</v>
      </c>
      <c r="D30" s="28">
        <v>147859</v>
      </c>
      <c r="E30" s="30">
        <f>D30/12</f>
        <v>12321.583333333334</v>
      </c>
      <c r="F30" s="43">
        <f>E30/14352</f>
        <v>0.85852726681531033</v>
      </c>
    </row>
    <row r="31" spans="1:6" ht="99" customHeight="1" x14ac:dyDescent="0.25">
      <c r="A31" s="36" t="s">
        <v>110</v>
      </c>
      <c r="B31" s="6"/>
      <c r="C31" s="7" t="s">
        <v>136</v>
      </c>
      <c r="D31" s="28">
        <f>18980+7485+5747+11830+11500</f>
        <v>55542</v>
      </c>
      <c r="E31" s="30">
        <f t="shared" si="0"/>
        <v>4628.5</v>
      </c>
      <c r="F31" s="43">
        <f t="shared" si="1"/>
        <v>0.32249860646599776</v>
      </c>
    </row>
    <row r="32" spans="1:6" ht="31.5" x14ac:dyDescent="0.25">
      <c r="A32" s="36" t="s">
        <v>29</v>
      </c>
      <c r="B32" s="6"/>
      <c r="C32" s="7" t="s">
        <v>168</v>
      </c>
      <c r="D32" s="28">
        <f>15173+1258</f>
        <v>16431</v>
      </c>
      <c r="E32" s="30">
        <f t="shared" si="0"/>
        <v>1369.25</v>
      </c>
      <c r="F32" s="43">
        <f t="shared" si="1"/>
        <v>9.5404821627647712E-2</v>
      </c>
    </row>
    <row r="33" spans="1:6" ht="31.5" x14ac:dyDescent="0.25">
      <c r="A33" s="36" t="s">
        <v>30</v>
      </c>
      <c r="B33" s="6"/>
      <c r="C33" s="7" t="s">
        <v>135</v>
      </c>
      <c r="D33" s="28">
        <v>17150</v>
      </c>
      <c r="E33" s="30">
        <f t="shared" ref="E33:E34" si="5">D33/12</f>
        <v>1429.1666666666667</v>
      </c>
      <c r="F33" s="43">
        <f t="shared" ref="F33:F34" si="6">E33/14352</f>
        <v>9.957961724266072E-2</v>
      </c>
    </row>
    <row r="34" spans="1:6" ht="16.5" x14ac:dyDescent="0.25">
      <c r="A34" s="36" t="s">
        <v>162</v>
      </c>
      <c r="B34" s="6"/>
      <c r="C34" s="7" t="s">
        <v>134</v>
      </c>
      <c r="D34" s="28">
        <v>10275</v>
      </c>
      <c r="E34" s="30">
        <f t="shared" si="5"/>
        <v>856.25</v>
      </c>
      <c r="F34" s="43">
        <f t="shared" si="6"/>
        <v>5.966067447045708E-2</v>
      </c>
    </row>
    <row r="35" spans="1:6" ht="31.5" x14ac:dyDescent="0.25">
      <c r="A35" s="36" t="s">
        <v>163</v>
      </c>
      <c r="B35" s="6"/>
      <c r="C35" s="7" t="s">
        <v>73</v>
      </c>
      <c r="D35" s="28">
        <f>247877*0.4</f>
        <v>99150.8</v>
      </c>
      <c r="E35" s="30">
        <f t="shared" si="0"/>
        <v>8262.5666666666675</v>
      </c>
      <c r="F35" s="43">
        <f t="shared" si="1"/>
        <v>0.57570837978446676</v>
      </c>
    </row>
    <row r="36" spans="1:6" ht="16.5" x14ac:dyDescent="0.25">
      <c r="A36" s="36" t="s">
        <v>31</v>
      </c>
      <c r="B36" s="6"/>
      <c r="C36" s="7" t="s">
        <v>12</v>
      </c>
      <c r="D36" s="28">
        <f>D31*0.273+D33*0.273+D35*0.302</f>
        <v>49788.457600000002</v>
      </c>
      <c r="E36" s="30">
        <f t="shared" si="0"/>
        <v>4149.0381333333335</v>
      </c>
      <c r="F36" s="43">
        <f t="shared" si="1"/>
        <v>0.28909128576737275</v>
      </c>
    </row>
    <row r="37" spans="1:6" ht="33" customHeight="1" x14ac:dyDescent="0.25">
      <c r="A37" s="22">
        <v>5</v>
      </c>
      <c r="B37" s="76" t="s">
        <v>32</v>
      </c>
      <c r="C37" s="76"/>
      <c r="D37" s="27">
        <f>SUM(D38:D51)</f>
        <v>990169.95309880015</v>
      </c>
      <c r="E37" s="30">
        <f t="shared" si="0"/>
        <v>82514.162758233346</v>
      </c>
      <c r="F37" s="43">
        <f t="shared" si="1"/>
        <v>5.7493145734555009</v>
      </c>
    </row>
    <row r="38" spans="1:6" ht="31.5" x14ac:dyDescent="0.25">
      <c r="A38" s="36" t="s">
        <v>33</v>
      </c>
      <c r="B38" s="6"/>
      <c r="C38" s="7" t="s">
        <v>74</v>
      </c>
      <c r="D38" s="28">
        <f>(489261+15069)*0.92</f>
        <v>463983.60000000003</v>
      </c>
      <c r="E38" s="30">
        <f t="shared" ref="E38" si="7">D38/12</f>
        <v>38665.300000000003</v>
      </c>
      <c r="F38" s="43">
        <f t="shared" si="1"/>
        <v>2.6940705128205131</v>
      </c>
    </row>
    <row r="39" spans="1:6" ht="31.5" x14ac:dyDescent="0.25">
      <c r="A39" s="36" t="s">
        <v>34</v>
      </c>
      <c r="B39" s="6"/>
      <c r="C39" s="7" t="s">
        <v>75</v>
      </c>
      <c r="D39" s="28">
        <f>137914</f>
        <v>137914</v>
      </c>
      <c r="E39" s="30">
        <f t="shared" ref="E39:E53" si="8">D39/12</f>
        <v>11492.833333333334</v>
      </c>
      <c r="F39" s="43">
        <f t="shared" si="1"/>
        <v>0.80078270159791898</v>
      </c>
    </row>
    <row r="40" spans="1:6" ht="16.5" x14ac:dyDescent="0.25">
      <c r="A40" s="36" t="s">
        <v>35</v>
      </c>
      <c r="B40" s="6"/>
      <c r="C40" s="7" t="s">
        <v>57</v>
      </c>
      <c r="D40" s="28">
        <v>8705</v>
      </c>
      <c r="E40" s="30">
        <f>D40/12</f>
        <v>725.41666666666663</v>
      </c>
      <c r="F40" s="43">
        <f>E40/14352</f>
        <v>5.0544639539204753E-2</v>
      </c>
    </row>
    <row r="41" spans="1:6" ht="16.5" x14ac:dyDescent="0.25">
      <c r="A41" s="36" t="s">
        <v>36</v>
      </c>
      <c r="B41" s="6"/>
      <c r="C41" s="7" t="s">
        <v>169</v>
      </c>
      <c r="D41" s="28">
        <v>2363</v>
      </c>
      <c r="E41" s="30">
        <f>D41/12</f>
        <v>196.91666666666666</v>
      </c>
      <c r="F41" s="43">
        <f>E41/14352</f>
        <v>1.3720503530286138E-2</v>
      </c>
    </row>
    <row r="42" spans="1:6" ht="16.5" x14ac:dyDescent="0.25">
      <c r="A42" s="36" t="s">
        <v>164</v>
      </c>
      <c r="B42" s="6"/>
      <c r="C42" s="7" t="s">
        <v>126</v>
      </c>
      <c r="D42" s="28">
        <v>3553</v>
      </c>
      <c r="E42" s="30">
        <f t="shared" ref="E42:E49" si="9">D42/12</f>
        <v>296.08333333333331</v>
      </c>
      <c r="F42" s="43">
        <f t="shared" si="1"/>
        <v>2.063010962467484E-2</v>
      </c>
    </row>
    <row r="43" spans="1:6" ht="16.5" x14ac:dyDescent="0.25">
      <c r="A43" s="36" t="s">
        <v>37</v>
      </c>
      <c r="B43" s="6"/>
      <c r="C43" s="7" t="s">
        <v>107</v>
      </c>
      <c r="D43" s="28">
        <v>1923</v>
      </c>
      <c r="E43" s="30">
        <f t="shared" ref="E43" si="10">D43/12</f>
        <v>160.25</v>
      </c>
      <c r="F43" s="43">
        <f t="shared" si="1"/>
        <v>1.1165691192865106E-2</v>
      </c>
    </row>
    <row r="44" spans="1:6" ht="47.25" x14ac:dyDescent="0.25">
      <c r="A44" s="36" t="s">
        <v>38</v>
      </c>
      <c r="B44" s="6"/>
      <c r="C44" s="7" t="s">
        <v>121</v>
      </c>
      <c r="D44" s="28">
        <v>41760</v>
      </c>
      <c r="E44" s="30">
        <f t="shared" ref="E44" si="11">D44/12</f>
        <v>3480</v>
      </c>
      <c r="F44" s="43">
        <f t="shared" si="1"/>
        <v>0.24247491638795987</v>
      </c>
    </row>
    <row r="45" spans="1:6" ht="31.5" x14ac:dyDescent="0.25">
      <c r="A45" s="36" t="s">
        <v>48</v>
      </c>
      <c r="B45" s="6"/>
      <c r="C45" s="7" t="s">
        <v>170</v>
      </c>
      <c r="D45" s="28">
        <v>60125</v>
      </c>
      <c r="E45" s="30">
        <f t="shared" ref="E45:E47" si="12">D45/12</f>
        <v>5010.416666666667</v>
      </c>
      <c r="F45" s="43">
        <f t="shared" si="1"/>
        <v>0.34910929951690822</v>
      </c>
    </row>
    <row r="46" spans="1:6" ht="47.25" x14ac:dyDescent="0.25">
      <c r="A46" s="36" t="s">
        <v>49</v>
      </c>
      <c r="B46" s="6"/>
      <c r="C46" s="7" t="s">
        <v>171</v>
      </c>
      <c r="D46" s="28">
        <v>12187</v>
      </c>
      <c r="E46" s="30">
        <f t="shared" si="12"/>
        <v>1015.5833333333334</v>
      </c>
      <c r="F46" s="43">
        <f t="shared" si="1"/>
        <v>7.0762495354886656E-2</v>
      </c>
    </row>
    <row r="47" spans="1:6" ht="31.5" x14ac:dyDescent="0.25">
      <c r="A47" s="36" t="s">
        <v>96</v>
      </c>
      <c r="B47" s="6"/>
      <c r="C47" s="7" t="s">
        <v>89</v>
      </c>
      <c r="D47" s="28">
        <v>15528</v>
      </c>
      <c r="E47" s="30">
        <f t="shared" si="12"/>
        <v>1294</v>
      </c>
      <c r="F47" s="43">
        <f t="shared" si="1"/>
        <v>9.016164994425864E-2</v>
      </c>
    </row>
    <row r="48" spans="1:6" ht="16.5" x14ac:dyDescent="0.25">
      <c r="A48" s="36" t="s">
        <v>97</v>
      </c>
      <c r="B48" s="6"/>
      <c r="C48" s="7" t="s">
        <v>12</v>
      </c>
      <c r="D48" s="28">
        <f>D38*0.369933+D39*0.302+D44*0.273</f>
        <v>224693.35309880003</v>
      </c>
      <c r="E48" s="30">
        <f>D48/12</f>
        <v>18724.446091566668</v>
      </c>
      <c r="F48" s="43">
        <f t="shared" si="1"/>
        <v>1.3046576150757154</v>
      </c>
    </row>
    <row r="49" spans="1:6" ht="16.5" x14ac:dyDescent="0.25">
      <c r="A49" s="36" t="s">
        <v>165</v>
      </c>
      <c r="B49" s="6"/>
      <c r="C49" s="7" t="s">
        <v>122</v>
      </c>
      <c r="D49" s="28">
        <f>9893-1258</f>
        <v>8635</v>
      </c>
      <c r="E49" s="30">
        <f t="shared" si="9"/>
        <v>719.58333333333337</v>
      </c>
      <c r="F49" s="43">
        <f t="shared" si="1"/>
        <v>5.0138192121887776E-2</v>
      </c>
    </row>
    <row r="50" spans="1:6" ht="16.5" x14ac:dyDescent="0.25">
      <c r="A50" s="36" t="s">
        <v>98</v>
      </c>
      <c r="B50" s="6"/>
      <c r="C50" s="7" t="s">
        <v>137</v>
      </c>
      <c r="D50" s="28">
        <v>5100</v>
      </c>
      <c r="E50" s="30">
        <f>D50/12</f>
        <v>425</v>
      </c>
      <c r="F50" s="43">
        <f t="shared" si="1"/>
        <v>2.9612597547380156E-2</v>
      </c>
    </row>
    <row r="51" spans="1:6" ht="16.5" x14ac:dyDescent="0.25">
      <c r="A51" s="36" t="s">
        <v>109</v>
      </c>
      <c r="B51" s="6"/>
      <c r="C51" s="7" t="s">
        <v>76</v>
      </c>
      <c r="D51" s="28">
        <v>3700</v>
      </c>
      <c r="E51" s="30">
        <f t="shared" si="8"/>
        <v>308.33333333333331</v>
      </c>
      <c r="F51" s="43">
        <f t="shared" si="1"/>
        <v>2.1483649201040504E-2</v>
      </c>
    </row>
    <row r="52" spans="1:6" ht="34.5" customHeight="1" x14ac:dyDescent="0.25">
      <c r="A52" s="22">
        <v>6</v>
      </c>
      <c r="B52" s="76" t="s">
        <v>41</v>
      </c>
      <c r="C52" s="76"/>
      <c r="D52" s="27">
        <f>SUM(D53:D57)</f>
        <v>126556.6428412</v>
      </c>
      <c r="E52" s="30">
        <f t="shared" si="8"/>
        <v>10546.386903433333</v>
      </c>
      <c r="F52" s="43">
        <f t="shared" si="1"/>
        <v>0.73483743753019326</v>
      </c>
    </row>
    <row r="53" spans="1:6" ht="16.5" x14ac:dyDescent="0.25">
      <c r="A53" s="36" t="s">
        <v>39</v>
      </c>
      <c r="B53" s="6"/>
      <c r="C53" s="7" t="s">
        <v>77</v>
      </c>
      <c r="D53" s="28">
        <f>(489261+15069)*0.08</f>
        <v>40346.400000000001</v>
      </c>
      <c r="E53" s="30">
        <f t="shared" si="8"/>
        <v>3362.2000000000003</v>
      </c>
      <c r="F53" s="43">
        <f t="shared" si="1"/>
        <v>0.23426700111482723</v>
      </c>
    </row>
    <row r="54" spans="1:6" ht="31.5" x14ac:dyDescent="0.25">
      <c r="A54" s="36" t="s">
        <v>40</v>
      </c>
      <c r="B54" s="6"/>
      <c r="C54" s="7" t="s">
        <v>172</v>
      </c>
      <c r="D54" s="28">
        <v>45850</v>
      </c>
      <c r="E54" s="30">
        <f t="shared" ref="E54" si="13">D54/12</f>
        <v>3820.8333333333335</v>
      </c>
      <c r="F54" s="43">
        <f t="shared" si="1"/>
        <v>0.26622305834262355</v>
      </c>
    </row>
    <row r="55" spans="1:6" ht="16.5" x14ac:dyDescent="0.25">
      <c r="A55" s="36" t="s">
        <v>166</v>
      </c>
      <c r="B55" s="6"/>
      <c r="C55" s="7" t="s">
        <v>12</v>
      </c>
      <c r="D55" s="28">
        <f>D53*0.369933+D54*0.369933+D56*0.273-1</f>
        <v>33510.242841200001</v>
      </c>
      <c r="E55" s="30">
        <f t="shared" ref="E55:E58" si="14">D55/12</f>
        <v>2792.5202367666666</v>
      </c>
      <c r="F55" s="43">
        <f t="shared" si="1"/>
        <v>0.19457359509243774</v>
      </c>
    </row>
    <row r="56" spans="1:6" ht="47.25" x14ac:dyDescent="0.25">
      <c r="A56" s="36" t="s">
        <v>99</v>
      </c>
      <c r="B56" s="6"/>
      <c r="C56" s="7" t="s">
        <v>130</v>
      </c>
      <c r="D56" s="28">
        <f>3600+2350</f>
        <v>5950</v>
      </c>
      <c r="E56" s="30">
        <f t="shared" ref="E56" si="15">D56/12</f>
        <v>495.83333333333331</v>
      </c>
      <c r="F56" s="43">
        <f t="shared" ref="F56" si="16">E56/14352</f>
        <v>3.4548030471943512E-2</v>
      </c>
    </row>
    <row r="57" spans="1:6" ht="16.5" x14ac:dyDescent="0.25">
      <c r="A57" s="36" t="s">
        <v>167</v>
      </c>
      <c r="B57" s="6"/>
      <c r="C57" s="7" t="s">
        <v>88</v>
      </c>
      <c r="D57" s="28">
        <v>900</v>
      </c>
      <c r="E57" s="30">
        <f t="shared" ref="E57" si="17">D57/12</f>
        <v>75</v>
      </c>
      <c r="F57" s="43">
        <f t="shared" si="1"/>
        <v>5.225752508361204E-3</v>
      </c>
    </row>
    <row r="58" spans="1:6" ht="16.5" x14ac:dyDescent="0.25">
      <c r="A58" s="22">
        <v>7</v>
      </c>
      <c r="B58" s="76" t="s">
        <v>100</v>
      </c>
      <c r="C58" s="76"/>
      <c r="D58" s="27">
        <f>D59+D60</f>
        <v>629347</v>
      </c>
      <c r="E58" s="30">
        <f t="shared" si="14"/>
        <v>52445.583333333336</v>
      </c>
      <c r="F58" s="43">
        <f t="shared" si="1"/>
        <v>3.6542351820884433</v>
      </c>
    </row>
    <row r="59" spans="1:6" ht="16.5" x14ac:dyDescent="0.25">
      <c r="A59" s="36" t="s">
        <v>42</v>
      </c>
      <c r="B59" s="47"/>
      <c r="C59" s="7" t="s">
        <v>87</v>
      </c>
      <c r="D59" s="28">
        <v>618350</v>
      </c>
      <c r="E59" s="30">
        <f t="shared" ref="E59:E60" si="18">D59/12</f>
        <v>51529.166666666664</v>
      </c>
      <c r="F59" s="43">
        <f t="shared" si="1"/>
        <v>3.590382292827945</v>
      </c>
    </row>
    <row r="60" spans="1:6" ht="31.5" x14ac:dyDescent="0.25">
      <c r="A60" s="36" t="s">
        <v>101</v>
      </c>
      <c r="B60" s="47"/>
      <c r="C60" s="7" t="s">
        <v>173</v>
      </c>
      <c r="D60" s="28">
        <f>10600+397</f>
        <v>10997</v>
      </c>
      <c r="E60" s="30">
        <f t="shared" si="18"/>
        <v>916.41666666666663</v>
      </c>
      <c r="F60" s="43">
        <f t="shared" si="1"/>
        <v>6.3852889260497953E-2</v>
      </c>
    </row>
    <row r="61" spans="1:6" ht="16.5" x14ac:dyDescent="0.25">
      <c r="A61" s="22">
        <v>8</v>
      </c>
      <c r="B61" s="76" t="s">
        <v>43</v>
      </c>
      <c r="C61" s="76"/>
      <c r="D61" s="27">
        <v>23383</v>
      </c>
      <c r="E61" s="30">
        <f t="shared" ref="E61:E62" si="19">D61/12</f>
        <v>1948.5833333333333</v>
      </c>
      <c r="F61" s="43">
        <f t="shared" si="1"/>
        <v>0.13577085655890003</v>
      </c>
    </row>
    <row r="62" spans="1:6" ht="18" customHeight="1" x14ac:dyDescent="0.25">
      <c r="A62" s="22">
        <v>9</v>
      </c>
      <c r="B62" s="76" t="s">
        <v>142</v>
      </c>
      <c r="C62" s="76"/>
      <c r="D62" s="27">
        <f>D63+D64</f>
        <v>148812</v>
      </c>
      <c r="E62" s="30">
        <f t="shared" si="19"/>
        <v>12401</v>
      </c>
      <c r="F62" s="43">
        <f t="shared" si="1"/>
        <v>0.86406075808249716</v>
      </c>
    </row>
    <row r="63" spans="1:6" ht="16.5" customHeight="1" x14ac:dyDescent="0.25">
      <c r="A63" s="65" t="s">
        <v>143</v>
      </c>
      <c r="B63" s="50"/>
      <c r="C63" s="7" t="s">
        <v>145</v>
      </c>
      <c r="D63" s="28">
        <v>44393</v>
      </c>
      <c r="E63" s="30">
        <f t="shared" ref="E63:E64" si="20">D63/12</f>
        <v>3699.4166666666665</v>
      </c>
      <c r="F63" s="43">
        <f t="shared" ref="F63:F64" si="21">E63/14352</f>
        <v>0.25776314567075437</v>
      </c>
    </row>
    <row r="64" spans="1:6" ht="16.5" customHeight="1" x14ac:dyDescent="0.25">
      <c r="A64" s="66" t="s">
        <v>144</v>
      </c>
      <c r="B64" s="50"/>
      <c r="C64" s="7" t="s">
        <v>146</v>
      </c>
      <c r="D64" s="28">
        <v>104419</v>
      </c>
      <c r="E64" s="30">
        <f t="shared" si="20"/>
        <v>8701.5833333333339</v>
      </c>
      <c r="F64" s="43">
        <f t="shared" si="21"/>
        <v>0.60629761241174285</v>
      </c>
    </row>
    <row r="65" spans="1:6" ht="33" customHeight="1" x14ac:dyDescent="0.25">
      <c r="A65" s="22">
        <v>10</v>
      </c>
      <c r="B65" s="76" t="s">
        <v>6</v>
      </c>
      <c r="C65" s="76"/>
      <c r="D65" s="27">
        <f>('оплачено ПУ'!C17-'оплачено ПУ'!C30)*0.01</f>
        <v>107651.31578000003</v>
      </c>
      <c r="E65" s="30">
        <f t="shared" ref="E65:E67" si="22">D65/12</f>
        <v>8970.9429816666689</v>
      </c>
      <c r="F65" s="43">
        <f t="shared" ref="F65:F73" si="23">E65/14352</f>
        <v>0.62506570385079907</v>
      </c>
    </row>
    <row r="66" spans="1:6" ht="33" customHeight="1" x14ac:dyDescent="0.25">
      <c r="A66" s="22">
        <v>11</v>
      </c>
      <c r="B66" s="67" t="s">
        <v>174</v>
      </c>
      <c r="C66" s="68"/>
      <c r="D66" s="27">
        <f>D5+D7+D12+D29+D37+D52+D58+D61+D62+D65</f>
        <v>5019189.3206240004</v>
      </c>
      <c r="E66" s="30">
        <f t="shared" si="22"/>
        <v>418265.77671866672</v>
      </c>
      <c r="F66" s="43">
        <f t="shared" si="23"/>
        <v>29.143379091322931</v>
      </c>
    </row>
    <row r="67" spans="1:6" ht="70.5" customHeight="1" x14ac:dyDescent="0.25">
      <c r="A67" s="22">
        <v>12</v>
      </c>
      <c r="B67" s="76" t="s">
        <v>175</v>
      </c>
      <c r="C67" s="76"/>
      <c r="D67" s="27">
        <f>'оплачено ПУ'!C30</f>
        <v>1200810.2120000001</v>
      </c>
      <c r="E67" s="30">
        <f t="shared" si="22"/>
        <v>100067.51766666667</v>
      </c>
      <c r="F67" s="43">
        <f t="shared" si="23"/>
        <v>6.9723744193608326</v>
      </c>
    </row>
    <row r="68" spans="1:6" ht="33" customHeight="1" x14ac:dyDescent="0.25">
      <c r="A68" s="22">
        <v>13</v>
      </c>
      <c r="B68" s="67" t="s">
        <v>176</v>
      </c>
      <c r="C68" s="68"/>
      <c r="D68" s="27">
        <f>D66+D67</f>
        <v>6219999.5326240007</v>
      </c>
      <c r="E68" s="30">
        <f t="shared" ref="E68:E72" si="24">D68/12</f>
        <v>518333.29438533337</v>
      </c>
      <c r="F68" s="43">
        <f t="shared" si="23"/>
        <v>36.11575351068376</v>
      </c>
    </row>
    <row r="69" spans="1:6" s="3" customFormat="1" ht="25.5" customHeight="1" x14ac:dyDescent="0.3">
      <c r="A69" s="23">
        <v>14</v>
      </c>
      <c r="B69" s="69" t="s">
        <v>52</v>
      </c>
      <c r="C69" s="69"/>
      <c r="D69" s="29">
        <f>SUM(D70:D72)</f>
        <v>5518662</v>
      </c>
      <c r="E69" s="30">
        <f t="shared" si="24"/>
        <v>459888.5</v>
      </c>
      <c r="F69" s="43">
        <f t="shared" si="23"/>
        <v>32.043513099219624</v>
      </c>
    </row>
    <row r="70" spans="1:6" ht="30" customHeight="1" x14ac:dyDescent="0.25">
      <c r="A70" s="36" t="s">
        <v>44</v>
      </c>
      <c r="B70" s="34"/>
      <c r="C70" s="35" t="s">
        <v>177</v>
      </c>
      <c r="D70" s="28">
        <f>4930242-D62-36660</f>
        <v>4744770</v>
      </c>
      <c r="E70" s="30">
        <f t="shared" si="24"/>
        <v>395397.5</v>
      </c>
      <c r="F70" s="43">
        <f t="shared" si="23"/>
        <v>27.54999303232999</v>
      </c>
    </row>
    <row r="71" spans="1:6" ht="16.5" customHeight="1" x14ac:dyDescent="0.25">
      <c r="A71" s="36" t="s">
        <v>45</v>
      </c>
      <c r="B71" s="34"/>
      <c r="C71" s="35" t="s">
        <v>78</v>
      </c>
      <c r="D71" s="28">
        <v>420314</v>
      </c>
      <c r="E71" s="30">
        <f t="shared" si="24"/>
        <v>35026.166666666664</v>
      </c>
      <c r="F71" s="43">
        <f t="shared" si="23"/>
        <v>2.4405077108881454</v>
      </c>
    </row>
    <row r="72" spans="1:6" ht="16.5" customHeight="1" x14ac:dyDescent="0.25">
      <c r="A72" s="36" t="s">
        <v>46</v>
      </c>
      <c r="B72" s="34"/>
      <c r="C72" s="35" t="s">
        <v>79</v>
      </c>
      <c r="D72" s="28">
        <v>353578</v>
      </c>
      <c r="E72" s="30">
        <f t="shared" si="24"/>
        <v>29464.833333333332</v>
      </c>
      <c r="F72" s="43">
        <f t="shared" si="23"/>
        <v>2.0530123560014863</v>
      </c>
    </row>
    <row r="73" spans="1:6" s="3" customFormat="1" ht="24" customHeight="1" x14ac:dyDescent="0.3">
      <c r="A73" s="23">
        <v>15</v>
      </c>
      <c r="B73" s="70" t="s">
        <v>47</v>
      </c>
      <c r="C73" s="71"/>
      <c r="D73" s="29">
        <f>D68+D69</f>
        <v>11738661.532624001</v>
      </c>
      <c r="E73" s="30">
        <f t="shared" ref="E73" si="25">D73/12</f>
        <v>978221.79438533343</v>
      </c>
      <c r="F73" s="43">
        <f t="shared" si="23"/>
        <v>68.159266609903383</v>
      </c>
    </row>
    <row r="74" spans="1:6" x14ac:dyDescent="0.25">
      <c r="B74" s="2" t="s">
        <v>178</v>
      </c>
    </row>
    <row r="75" spans="1:6" ht="16.5" x14ac:dyDescent="0.25">
      <c r="A75" s="23">
        <v>16</v>
      </c>
      <c r="B75" s="69" t="s">
        <v>52</v>
      </c>
      <c r="C75" s="69"/>
      <c r="D75" s="29">
        <f>SUM(D76:D78)</f>
        <v>5704134</v>
      </c>
      <c r="E75" s="30">
        <f t="shared" ref="E75:E78" si="26">D75/12</f>
        <v>475344.5</v>
      </c>
      <c r="F75" s="43">
        <f t="shared" ref="F75:F78" si="27">E75/14352</f>
        <v>33.120436176142697</v>
      </c>
    </row>
    <row r="76" spans="1:6" ht="16.5" x14ac:dyDescent="0.25">
      <c r="A76" s="36" t="s">
        <v>179</v>
      </c>
      <c r="B76" s="34"/>
      <c r="C76" s="35" t="s">
        <v>182</v>
      </c>
      <c r="D76" s="28">
        <f>4930242</f>
        <v>4930242</v>
      </c>
      <c r="E76" s="30">
        <f t="shared" si="26"/>
        <v>410853.5</v>
      </c>
      <c r="F76" s="43">
        <f t="shared" si="27"/>
        <v>28.626916109253067</v>
      </c>
    </row>
    <row r="77" spans="1:6" ht="16.5" x14ac:dyDescent="0.25">
      <c r="A77" s="36" t="s">
        <v>180</v>
      </c>
      <c r="B77" s="34"/>
      <c r="C77" s="35" t="s">
        <v>78</v>
      </c>
      <c r="D77" s="28">
        <v>420314</v>
      </c>
      <c r="E77" s="30">
        <f t="shared" si="26"/>
        <v>35026.166666666664</v>
      </c>
      <c r="F77" s="43">
        <f t="shared" si="27"/>
        <v>2.4405077108881454</v>
      </c>
    </row>
    <row r="78" spans="1:6" ht="16.5" x14ac:dyDescent="0.25">
      <c r="A78" s="36" t="s">
        <v>181</v>
      </c>
      <c r="B78" s="34"/>
      <c r="C78" s="35" t="s">
        <v>79</v>
      </c>
      <c r="D78" s="28">
        <v>353578</v>
      </c>
      <c r="E78" s="30">
        <f t="shared" si="26"/>
        <v>29464.833333333332</v>
      </c>
      <c r="F78" s="43">
        <f t="shared" si="27"/>
        <v>2.0530123560014863</v>
      </c>
    </row>
  </sheetData>
  <mergeCells count="20">
    <mergeCell ref="A3:F3"/>
    <mergeCell ref="A2:F2"/>
    <mergeCell ref="A1:F1"/>
    <mergeCell ref="B4:C4"/>
    <mergeCell ref="B65:C65"/>
    <mergeCell ref="B61:C61"/>
    <mergeCell ref="B52:C52"/>
    <mergeCell ref="B58:C58"/>
    <mergeCell ref="B29:C29"/>
    <mergeCell ref="B5:C5"/>
    <mergeCell ref="B7:C7"/>
    <mergeCell ref="B12:C12"/>
    <mergeCell ref="B37:C37"/>
    <mergeCell ref="B62:C62"/>
    <mergeCell ref="B66:C66"/>
    <mergeCell ref="B68:C68"/>
    <mergeCell ref="B69:C69"/>
    <mergeCell ref="B73:C73"/>
    <mergeCell ref="B75:C75"/>
    <mergeCell ref="B67:C67"/>
  </mergeCells>
  <pageMargins left="0.39370078740157483" right="0.39370078740157483" top="0.39370078740157483" bottom="0.39370078740157483" header="0.31496062992125984" footer="0.31496062992125984"/>
  <pageSetup paperSize="9" scale="8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G20" sqref="G20"/>
    </sheetView>
  </sheetViews>
  <sheetFormatPr defaultRowHeight="15.75" x14ac:dyDescent="0.25"/>
  <cols>
    <col min="1" max="1" width="6.7109375" style="8" customWidth="1"/>
    <col min="2" max="2" width="50.7109375" style="9" customWidth="1"/>
    <col min="3" max="3" width="20.7109375" style="20" customWidth="1"/>
    <col min="4" max="4" width="12.7109375" style="8" customWidth="1"/>
    <col min="5" max="5" width="9.85546875" style="8" bestFit="1" customWidth="1"/>
    <col min="6" max="16384" width="9.140625" style="8"/>
  </cols>
  <sheetData>
    <row r="1" spans="1:4" ht="16.5" customHeight="1" x14ac:dyDescent="0.3">
      <c r="A1" s="79" t="s">
        <v>117</v>
      </c>
      <c r="B1" s="79"/>
      <c r="C1" s="79"/>
      <c r="D1" s="79"/>
    </row>
    <row r="2" spans="1:4" ht="16.5" customHeight="1" x14ac:dyDescent="0.3">
      <c r="A2" s="78" t="s">
        <v>50</v>
      </c>
      <c r="B2" s="78"/>
      <c r="C2" s="78"/>
      <c r="D2" s="78"/>
    </row>
    <row r="3" spans="1:4" ht="16.5" x14ac:dyDescent="0.3">
      <c r="A3" s="77" t="s">
        <v>59</v>
      </c>
      <c r="B3" s="77"/>
      <c r="C3" s="77"/>
      <c r="D3" s="77"/>
    </row>
    <row r="4" spans="1:4" s="14" customFormat="1" ht="47.25" x14ac:dyDescent="0.25">
      <c r="A4" s="13" t="s">
        <v>4</v>
      </c>
      <c r="B4" s="13" t="s">
        <v>3</v>
      </c>
      <c r="C4" s="17" t="s">
        <v>141</v>
      </c>
      <c r="D4" s="44" t="s">
        <v>56</v>
      </c>
    </row>
    <row r="5" spans="1:4" s="16" customFormat="1" ht="33" x14ac:dyDescent="0.3">
      <c r="A5" s="15">
        <v>1</v>
      </c>
      <c r="B5" s="12" t="s">
        <v>116</v>
      </c>
      <c r="C5" s="19">
        <f>SUM(C6:C11)</f>
        <v>5716126.4699999997</v>
      </c>
      <c r="D5" s="45">
        <f>C5/12/14352</f>
        <v>33.190069154124863</v>
      </c>
    </row>
    <row r="6" spans="1:4" x14ac:dyDescent="0.25">
      <c r="A6" s="37" t="s">
        <v>14</v>
      </c>
      <c r="B6" s="10" t="s">
        <v>80</v>
      </c>
      <c r="C6" s="18">
        <f>462815.31+12970.78+1845197.65+392338.43+667418.63-4107.28+1217145.03+5534.97</f>
        <v>4599313.5199999996</v>
      </c>
      <c r="D6" s="45">
        <f t="shared" ref="D6:D24" si="0">C6/12/14352</f>
        <v>26.705415737643996</v>
      </c>
    </row>
    <row r="7" spans="1:4" x14ac:dyDescent="0.25">
      <c r="A7" s="37" t="s">
        <v>15</v>
      </c>
      <c r="B7" s="10" t="s">
        <v>157</v>
      </c>
      <c r="C7" s="18">
        <f>150454.42+89.07+27510.34+20.22+0.02</f>
        <v>178074.07</v>
      </c>
      <c r="D7" s="45">
        <f t="shared" si="0"/>
        <v>1.0339677977517652</v>
      </c>
    </row>
    <row r="8" spans="1:4" x14ac:dyDescent="0.25">
      <c r="A8" s="37" t="s">
        <v>53</v>
      </c>
      <c r="B8" s="10" t="s">
        <v>78</v>
      </c>
      <c r="C8" s="18">
        <f>489398.22</f>
        <v>489398.22</v>
      </c>
      <c r="D8" s="45">
        <f t="shared" si="0"/>
        <v>2.8416377508361204</v>
      </c>
    </row>
    <row r="9" spans="1:4" x14ac:dyDescent="0.25">
      <c r="A9" s="37" t="s">
        <v>54</v>
      </c>
      <c r="B9" s="10" t="s">
        <v>158</v>
      </c>
      <c r="C9" s="18">
        <f>23738.33+16.96</f>
        <v>23755.29</v>
      </c>
      <c r="D9" s="45">
        <f t="shared" si="0"/>
        <v>0.13793251811594204</v>
      </c>
    </row>
    <row r="10" spans="1:4" x14ac:dyDescent="0.25">
      <c r="A10" s="37" t="s">
        <v>55</v>
      </c>
      <c r="B10" s="10" t="s">
        <v>79</v>
      </c>
      <c r="C10" s="18">
        <f>417659.46</f>
        <v>417659.46</v>
      </c>
      <c r="D10" s="45">
        <f t="shared" si="0"/>
        <v>2.4250944119286513</v>
      </c>
    </row>
    <row r="11" spans="1:4" x14ac:dyDescent="0.25">
      <c r="A11" s="37" t="s">
        <v>153</v>
      </c>
      <c r="B11" s="10" t="s">
        <v>138</v>
      </c>
      <c r="C11" s="18">
        <f>7925.91</f>
        <v>7925.91</v>
      </c>
      <c r="D11" s="45">
        <f t="shared" si="0"/>
        <v>4.60209378483835E-2</v>
      </c>
    </row>
    <row r="12" spans="1:4" s="16" customFormat="1" ht="16.5" x14ac:dyDescent="0.3">
      <c r="A12" s="15">
        <v>2</v>
      </c>
      <c r="B12" s="12" t="s">
        <v>150</v>
      </c>
      <c r="C12" s="19">
        <f>5950038.6</f>
        <v>5950038.5999999996</v>
      </c>
      <c r="D12" s="45">
        <f t="shared" si="0"/>
        <v>34.548254598662204</v>
      </c>
    </row>
    <row r="13" spans="1:4" x14ac:dyDescent="0.25">
      <c r="A13" s="11">
        <v>3</v>
      </c>
      <c r="B13" s="10" t="s">
        <v>61</v>
      </c>
      <c r="C13" s="24">
        <v>0</v>
      </c>
      <c r="D13" s="45">
        <f t="shared" si="0"/>
        <v>0</v>
      </c>
    </row>
    <row r="14" spans="1:4" ht="16.5" x14ac:dyDescent="0.3">
      <c r="A14" s="11">
        <v>4</v>
      </c>
      <c r="B14" s="10" t="s">
        <v>62</v>
      </c>
      <c r="C14" s="46">
        <f>C5+C12+C13</f>
        <v>11666165.07</v>
      </c>
      <c r="D14" s="45">
        <f t="shared" si="0"/>
        <v>67.738323752787068</v>
      </c>
    </row>
    <row r="15" spans="1:4" ht="16.5" thickBot="1" x14ac:dyDescent="0.3">
      <c r="A15" s="11">
        <v>6</v>
      </c>
      <c r="B15" s="10" t="s">
        <v>63</v>
      </c>
      <c r="C15" s="24">
        <v>151590.84</v>
      </c>
      <c r="D15" s="45">
        <f t="shared" si="0"/>
        <v>0.8801957915273132</v>
      </c>
    </row>
    <row r="16" spans="1:4" s="16" customFormat="1" ht="17.25" thickBot="1" x14ac:dyDescent="0.35">
      <c r="A16" s="15">
        <v>7</v>
      </c>
      <c r="B16" s="31" t="s">
        <v>62</v>
      </c>
      <c r="C16" s="40">
        <f>C14+C15</f>
        <v>11817755.91</v>
      </c>
      <c r="D16" s="45">
        <f t="shared" si="0"/>
        <v>68.618519544314381</v>
      </c>
    </row>
    <row r="17" spans="1:4" ht="16.5" x14ac:dyDescent="0.3">
      <c r="A17" s="15">
        <v>8</v>
      </c>
      <c r="B17" s="12" t="s">
        <v>81</v>
      </c>
      <c r="C17" s="39">
        <f>SUM(C18:C20)</f>
        <v>176366</v>
      </c>
      <c r="D17" s="45">
        <f t="shared" si="0"/>
        <v>1.0240500743218135</v>
      </c>
    </row>
    <row r="18" spans="1:4" x14ac:dyDescent="0.25">
      <c r="A18" s="37" t="s">
        <v>64</v>
      </c>
      <c r="B18" s="10" t="s">
        <v>106</v>
      </c>
      <c r="C18" s="24">
        <v>8366</v>
      </c>
      <c r="D18" s="45">
        <f t="shared" si="0"/>
        <v>4.8576272761055368E-2</v>
      </c>
    </row>
    <row r="19" spans="1:4" x14ac:dyDescent="0.25">
      <c r="A19" s="37" t="s">
        <v>102</v>
      </c>
      <c r="B19" s="48" t="s">
        <v>104</v>
      </c>
      <c r="C19" s="24">
        <v>108000</v>
      </c>
      <c r="D19" s="45">
        <f t="shared" si="0"/>
        <v>0.62709030100334451</v>
      </c>
    </row>
    <row r="20" spans="1:4" x14ac:dyDescent="0.25">
      <c r="A20" s="59" t="s">
        <v>103</v>
      </c>
      <c r="B20" s="51" t="s">
        <v>105</v>
      </c>
      <c r="C20" s="38">
        <v>60000</v>
      </c>
      <c r="D20" s="49">
        <f t="shared" si="0"/>
        <v>0.34838350055741363</v>
      </c>
    </row>
    <row r="21" spans="1:4" ht="31.5" x14ac:dyDescent="0.25">
      <c r="A21" s="37" t="s">
        <v>147</v>
      </c>
      <c r="B21" s="10" t="s">
        <v>151</v>
      </c>
      <c r="C21" s="24">
        <v>36660</v>
      </c>
      <c r="D21" s="45">
        <f t="shared" si="0"/>
        <v>0.21286231884057971</v>
      </c>
    </row>
    <row r="22" spans="1:4" ht="33" thickBot="1" x14ac:dyDescent="0.35">
      <c r="A22" s="37"/>
      <c r="B22" s="10" t="s">
        <v>152</v>
      </c>
      <c r="C22" s="64">
        <f>C17-C21</f>
        <v>139706</v>
      </c>
      <c r="D22" s="45">
        <f t="shared" si="0"/>
        <v>0.81118775548123367</v>
      </c>
    </row>
    <row r="23" spans="1:4" s="16" customFormat="1" ht="34.5" thickTop="1" thickBot="1" x14ac:dyDescent="0.35">
      <c r="A23" s="60">
        <v>9</v>
      </c>
      <c r="B23" s="61" t="s">
        <v>86</v>
      </c>
      <c r="C23" s="33">
        <f>C16+C22</f>
        <v>11957461.91</v>
      </c>
      <c r="D23" s="62">
        <f t="shared" si="0"/>
        <v>69.429707299795609</v>
      </c>
    </row>
    <row r="24" spans="1:4" ht="34.5" thickTop="1" thickBot="1" x14ac:dyDescent="0.35">
      <c r="A24" s="11"/>
      <c r="B24" s="31" t="s">
        <v>140</v>
      </c>
      <c r="C24" s="58">
        <f>C12+C22</f>
        <v>6089744.5999999996</v>
      </c>
      <c r="D24" s="63">
        <f t="shared" si="0"/>
        <v>35.35944235414344</v>
      </c>
    </row>
    <row r="25" spans="1:4" ht="16.5" thickTop="1" x14ac:dyDescent="0.25"/>
  </sheetData>
  <mergeCells count="3">
    <mergeCell ref="A3:D3"/>
    <mergeCell ref="A2:D2"/>
    <mergeCell ref="A1:D1"/>
  </mergeCell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E1" sqref="E1"/>
    </sheetView>
  </sheetViews>
  <sheetFormatPr defaultRowHeight="15.75" x14ac:dyDescent="0.25"/>
  <cols>
    <col min="1" max="1" width="6.7109375" style="8" customWidth="1"/>
    <col min="2" max="2" width="50.7109375" style="9" customWidth="1"/>
    <col min="3" max="3" width="20.7109375" style="20" customWidth="1"/>
    <col min="4" max="4" width="13" style="8" customWidth="1"/>
    <col min="5" max="5" width="9.85546875" style="8" bestFit="1" customWidth="1"/>
    <col min="6" max="16384" width="9.140625" style="8"/>
  </cols>
  <sheetData>
    <row r="1" spans="1:4" ht="15.75" customHeight="1" x14ac:dyDescent="0.3">
      <c r="A1" s="79" t="s">
        <v>118</v>
      </c>
      <c r="B1" s="79"/>
      <c r="C1" s="79"/>
      <c r="D1" s="79"/>
    </row>
    <row r="2" spans="1:4" ht="15.75" customHeight="1" x14ac:dyDescent="0.3">
      <c r="A2" s="78" t="s">
        <v>50</v>
      </c>
      <c r="B2" s="78"/>
      <c r="C2" s="78"/>
      <c r="D2" s="78"/>
    </row>
    <row r="3" spans="1:4" ht="15.75" customHeight="1" x14ac:dyDescent="0.3">
      <c r="A3" s="77" t="s">
        <v>60</v>
      </c>
      <c r="B3" s="77"/>
      <c r="C3" s="77"/>
      <c r="D3" s="77"/>
    </row>
    <row r="4" spans="1:4" s="14" customFormat="1" ht="54.75" customHeight="1" x14ac:dyDescent="0.25">
      <c r="A4" s="13" t="s">
        <v>4</v>
      </c>
      <c r="B4" s="13" t="s">
        <v>3</v>
      </c>
      <c r="C4" s="17" t="s">
        <v>120</v>
      </c>
      <c r="D4" s="44" t="s">
        <v>56</v>
      </c>
    </row>
    <row r="5" spans="1:4" s="16" customFormat="1" ht="33" customHeight="1" x14ac:dyDescent="0.3">
      <c r="A5" s="15">
        <v>1</v>
      </c>
      <c r="B5" s="12" t="s">
        <v>112</v>
      </c>
      <c r="C5" s="19">
        <f>SUM(C6:C11)</f>
        <v>5925961.7700000005</v>
      </c>
      <c r="D5" s="45">
        <f>C5/12/14352</f>
        <v>34.408455093366783</v>
      </c>
    </row>
    <row r="6" spans="1:4" ht="16.5" customHeight="1" x14ac:dyDescent="0.25">
      <c r="A6" s="37" t="s">
        <v>14</v>
      </c>
      <c r="B6" s="10" t="s">
        <v>80</v>
      </c>
      <c r="C6" s="18">
        <f>491903.53+27984.28+1763427.58+111800.84+373297.84+24257.44+627905.53+35099.45+1265263.87+54594.93</f>
        <v>4775535.29</v>
      </c>
      <c r="D6" s="45">
        <f t="shared" ref="D6:D30" si="0">C6/12/14352</f>
        <v>27.72862835609439</v>
      </c>
    </row>
    <row r="7" spans="1:4" ht="16.5" customHeight="1" x14ac:dyDescent="0.25">
      <c r="A7" s="37" t="s">
        <v>15</v>
      </c>
      <c r="B7" s="10" t="s">
        <v>157</v>
      </c>
      <c r="C7" s="18">
        <f>110941.83+14153.04+19925.78+2597.46+66760.95+0.01</f>
        <v>214379.07</v>
      </c>
      <c r="D7" s="45">
        <f t="shared" si="0"/>
        <v>1.2447688475473802</v>
      </c>
    </row>
    <row r="8" spans="1:4" ht="16.5" customHeight="1" x14ac:dyDescent="0.25">
      <c r="A8" s="37" t="s">
        <v>53</v>
      </c>
      <c r="B8" s="10" t="s">
        <v>78</v>
      </c>
      <c r="C8" s="18">
        <f>456072.36+31143.41</f>
        <v>487215.76999999996</v>
      </c>
      <c r="D8" s="45">
        <f t="shared" si="0"/>
        <v>2.8289655913229281</v>
      </c>
    </row>
    <row r="9" spans="1:4" ht="16.5" customHeight="1" x14ac:dyDescent="0.25">
      <c r="A9" s="37" t="s">
        <v>54</v>
      </c>
      <c r="B9" s="10" t="s">
        <v>158</v>
      </c>
      <c r="C9" s="18">
        <f>20320.45+2013.33</f>
        <v>22333.78</v>
      </c>
      <c r="D9" s="45">
        <f t="shared" si="0"/>
        <v>0.12967867428465255</v>
      </c>
    </row>
    <row r="10" spans="1:4" ht="16.5" customHeight="1" x14ac:dyDescent="0.25">
      <c r="A10" s="37" t="s">
        <v>55</v>
      </c>
      <c r="B10" s="10" t="s">
        <v>79</v>
      </c>
      <c r="C10" s="18">
        <f>394460.59+25909.16</f>
        <v>420369.75</v>
      </c>
      <c r="D10" s="45">
        <f t="shared" si="0"/>
        <v>2.4408314172240804</v>
      </c>
    </row>
    <row r="11" spans="1:4" ht="16.5" customHeight="1" x14ac:dyDescent="0.25">
      <c r="A11" s="37" t="s">
        <v>153</v>
      </c>
      <c r="B11" s="10" t="s">
        <v>138</v>
      </c>
      <c r="C11" s="18">
        <f>5273.3+854.81</f>
        <v>6128.1100000000006</v>
      </c>
      <c r="D11" s="45">
        <f t="shared" si="0"/>
        <v>3.5582206893348199E-2</v>
      </c>
    </row>
    <row r="12" spans="1:4" s="16" customFormat="1" ht="16.5" customHeight="1" x14ac:dyDescent="0.3">
      <c r="A12" s="15">
        <v>2</v>
      </c>
      <c r="B12" s="12" t="s">
        <v>150</v>
      </c>
      <c r="C12" s="19">
        <f>5323291.16+564367.4</f>
        <v>5887658.5600000005</v>
      </c>
      <c r="D12" s="45">
        <f t="shared" si="0"/>
        <v>34.18605165366035</v>
      </c>
    </row>
    <row r="13" spans="1:4" ht="18" customHeight="1" x14ac:dyDescent="0.25">
      <c r="A13" s="11">
        <v>3</v>
      </c>
      <c r="B13" s="10" t="s">
        <v>155</v>
      </c>
      <c r="C13" s="24">
        <v>0</v>
      </c>
      <c r="D13" s="45">
        <f t="shared" si="0"/>
        <v>0</v>
      </c>
    </row>
    <row r="14" spans="1:4" s="16" customFormat="1" ht="33" customHeight="1" x14ac:dyDescent="0.3">
      <c r="A14" s="15">
        <v>4</v>
      </c>
      <c r="B14" s="12" t="s">
        <v>156</v>
      </c>
      <c r="C14" s="46">
        <f>C5+C12+C13</f>
        <v>11813620.330000002</v>
      </c>
      <c r="D14" s="45">
        <f t="shared" si="0"/>
        <v>68.59450674702714</v>
      </c>
    </row>
    <row r="15" spans="1:4" ht="16.5" customHeight="1" x14ac:dyDescent="0.25">
      <c r="A15" s="11">
        <v>5</v>
      </c>
      <c r="B15" s="10" t="s">
        <v>115</v>
      </c>
      <c r="C15" s="24">
        <f>125423.01+1455.97</f>
        <v>126878.98</v>
      </c>
      <c r="D15" s="45">
        <f t="shared" si="0"/>
        <v>0.73670905332590109</v>
      </c>
    </row>
    <row r="16" spans="1:4" ht="30" customHeight="1" x14ac:dyDescent="0.25">
      <c r="A16" s="11">
        <v>6</v>
      </c>
      <c r="B16" s="10" t="s">
        <v>154</v>
      </c>
      <c r="C16" s="24">
        <f>151746.07-126303.59</f>
        <v>25442.48000000001</v>
      </c>
      <c r="D16" s="45">
        <f t="shared" si="0"/>
        <v>0.14772900408769979</v>
      </c>
    </row>
    <row r="17" spans="1:4" s="16" customFormat="1" ht="16.5" customHeight="1" x14ac:dyDescent="0.3">
      <c r="A17" s="15">
        <v>7</v>
      </c>
      <c r="B17" s="12" t="s">
        <v>9</v>
      </c>
      <c r="C17" s="19">
        <f>C14+C15+C16</f>
        <v>11965941.790000003</v>
      </c>
      <c r="D17" s="45">
        <f t="shared" si="0"/>
        <v>69.478944804440744</v>
      </c>
    </row>
    <row r="18" spans="1:4" ht="16.5" customHeight="1" x14ac:dyDescent="0.3">
      <c r="A18" s="15">
        <v>8</v>
      </c>
      <c r="B18" s="12" t="s">
        <v>83</v>
      </c>
      <c r="C18" s="19">
        <f>SUM(C19:C21)</f>
        <v>155190</v>
      </c>
      <c r="D18" s="45">
        <f t="shared" si="0"/>
        <v>0.90109392419175027</v>
      </c>
    </row>
    <row r="19" spans="1:4" ht="16.5" customHeight="1" x14ac:dyDescent="0.25">
      <c r="A19" s="37" t="s">
        <v>64</v>
      </c>
      <c r="B19" s="10" t="s">
        <v>106</v>
      </c>
      <c r="C19" s="18">
        <v>17190</v>
      </c>
      <c r="D19" s="45">
        <f t="shared" si="0"/>
        <v>9.9811872909698993E-2</v>
      </c>
    </row>
    <row r="20" spans="1:4" ht="16.5" customHeight="1" x14ac:dyDescent="0.25">
      <c r="A20" s="37" t="s">
        <v>102</v>
      </c>
      <c r="B20" s="48" t="s">
        <v>104</v>
      </c>
      <c r="C20" s="18">
        <v>108000</v>
      </c>
      <c r="D20" s="45">
        <f t="shared" si="0"/>
        <v>0.62709030100334451</v>
      </c>
    </row>
    <row r="21" spans="1:4" ht="16.5" customHeight="1" x14ac:dyDescent="0.25">
      <c r="A21" s="37" t="s">
        <v>103</v>
      </c>
      <c r="B21" s="51" t="s">
        <v>105</v>
      </c>
      <c r="C21" s="52">
        <v>30000</v>
      </c>
      <c r="D21" s="49">
        <f t="shared" si="0"/>
        <v>0.17419175027870681</v>
      </c>
    </row>
    <row r="22" spans="1:4" ht="16.5" customHeight="1" x14ac:dyDescent="0.25">
      <c r="A22" s="37" t="s">
        <v>147</v>
      </c>
      <c r="B22" s="10" t="s">
        <v>148</v>
      </c>
      <c r="C22" s="18">
        <v>36660</v>
      </c>
      <c r="D22" s="45">
        <f t="shared" si="0"/>
        <v>0.21286231884057971</v>
      </c>
    </row>
    <row r="23" spans="1:4" ht="43.5" customHeight="1" thickBot="1" x14ac:dyDescent="0.35">
      <c r="A23" s="37"/>
      <c r="B23" s="10" t="s">
        <v>149</v>
      </c>
      <c r="C23" s="55">
        <f>C18-C22</f>
        <v>118530</v>
      </c>
      <c r="D23" s="45">
        <f t="shared" si="0"/>
        <v>0.68823160535117056</v>
      </c>
    </row>
    <row r="24" spans="1:4" s="16" customFormat="1" ht="31.5" customHeight="1" thickTop="1" thickBot="1" x14ac:dyDescent="0.35">
      <c r="A24" s="15">
        <v>9</v>
      </c>
      <c r="B24" s="53" t="s">
        <v>82</v>
      </c>
      <c r="C24" s="33">
        <f>C17+C23</f>
        <v>12084471.790000003</v>
      </c>
      <c r="D24" s="54">
        <f t="shared" si="0"/>
        <v>70.167176409791907</v>
      </c>
    </row>
    <row r="25" spans="1:4" ht="16.5" customHeight="1" thickTop="1" thickBot="1" x14ac:dyDescent="0.3">
      <c r="A25" s="11"/>
      <c r="B25" s="10" t="s">
        <v>1</v>
      </c>
      <c r="C25" s="57"/>
      <c r="D25" s="45">
        <f t="shared" si="0"/>
        <v>0</v>
      </c>
    </row>
    <row r="26" spans="1:4" s="16" customFormat="1" ht="30" customHeight="1" thickTop="1" thickBot="1" x14ac:dyDescent="0.35">
      <c r="A26" s="15"/>
      <c r="B26" s="31" t="s">
        <v>139</v>
      </c>
      <c r="C26" s="58">
        <f>C12+C23</f>
        <v>6006188.5600000005</v>
      </c>
      <c r="D26" s="56"/>
    </row>
    <row r="27" spans="1:4" ht="21" customHeight="1" thickTop="1" x14ac:dyDescent="0.3">
      <c r="A27" s="11"/>
      <c r="B27" s="12" t="s">
        <v>84</v>
      </c>
      <c r="C27" s="32"/>
      <c r="D27" s="45">
        <f t="shared" si="0"/>
        <v>0</v>
      </c>
    </row>
    <row r="28" spans="1:4" ht="46.5" customHeight="1" x14ac:dyDescent="0.25">
      <c r="A28" s="37" t="s">
        <v>113</v>
      </c>
      <c r="B28" s="10" t="s">
        <v>65</v>
      </c>
      <c r="C28" s="18">
        <f>C12*0.2</f>
        <v>1177531.7120000001</v>
      </c>
      <c r="D28" s="45">
        <f t="shared" si="0"/>
        <v>6.83721033073207</v>
      </c>
    </row>
    <row r="29" spans="1:4" ht="31.5" customHeight="1" x14ac:dyDescent="0.25">
      <c r="A29" s="37" t="s">
        <v>114</v>
      </c>
      <c r="B29" s="10" t="s">
        <v>0</v>
      </c>
      <c r="C29" s="18">
        <f>C18*0.15</f>
        <v>23278.5</v>
      </c>
      <c r="D29" s="45">
        <f t="shared" si="0"/>
        <v>0.13516408862876253</v>
      </c>
    </row>
    <row r="30" spans="1:4" s="16" customFormat="1" ht="16.5" customHeight="1" x14ac:dyDescent="0.3">
      <c r="A30" s="15">
        <v>10</v>
      </c>
      <c r="B30" s="12" t="s">
        <v>85</v>
      </c>
      <c r="C30" s="19">
        <f>C28+C29</f>
        <v>1200810.2120000001</v>
      </c>
      <c r="D30" s="45">
        <f t="shared" si="0"/>
        <v>6.9723744193608326</v>
      </c>
    </row>
    <row r="31" spans="1:4" ht="16.5" customHeight="1" x14ac:dyDescent="0.25"/>
    <row r="32" spans="1:4" ht="16.5" customHeight="1" x14ac:dyDescent="0.25"/>
    <row r="33" ht="16.5" customHeight="1" x14ac:dyDescent="0.25"/>
    <row r="34" ht="16.5" customHeight="1" x14ac:dyDescent="0.25"/>
  </sheetData>
  <mergeCells count="3">
    <mergeCell ref="A3:D3"/>
    <mergeCell ref="A2:D2"/>
    <mergeCell ref="A1:D1"/>
  </mergeCell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начислено ИУ </vt:lpstr>
      <vt:lpstr>начислено ПУ</vt:lpstr>
      <vt:lpstr>оплачено ПУ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cp:lastPrinted>2016-03-31T10:24:23Z</cp:lastPrinted>
  <dcterms:created xsi:type="dcterms:W3CDTF">2013-03-25T11:46:54Z</dcterms:created>
  <dcterms:modified xsi:type="dcterms:W3CDTF">2018-04-02T07:24:16Z</dcterms:modified>
</cp:coreProperties>
</file>