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9270"/>
  </bookViews>
  <sheets>
    <sheet name="начислено ИУ сод" sheetId="3" r:id="rId1"/>
    <sheet name="начислено ПУ" sheetId="4" r:id="rId2"/>
    <sheet name="оплачено ПУ" sheetId="5" r:id="rId3"/>
  </sheets>
  <calcPr calcId="145621" refMode="R1C1"/>
</workbook>
</file>

<file path=xl/calcChain.xml><?xml version="1.0" encoding="utf-8"?>
<calcChain xmlns="http://schemas.openxmlformats.org/spreadsheetml/2006/main">
  <c r="C30" i="5" l="1"/>
  <c r="D80" i="3" l="1"/>
  <c r="D77" i="3"/>
  <c r="E77" i="3"/>
  <c r="F77" i="3" s="1"/>
  <c r="D78" i="3"/>
  <c r="D79" i="3"/>
  <c r="D81" i="3"/>
  <c r="D69" i="3"/>
  <c r="E80" i="3" l="1"/>
  <c r="F80" i="3" s="1"/>
  <c r="E81" i="3"/>
  <c r="F81" i="3" s="1"/>
  <c r="E78" i="3"/>
  <c r="F78" i="3" s="1"/>
  <c r="E79" i="3"/>
  <c r="F79" i="3" s="1"/>
  <c r="D76" i="3"/>
  <c r="E76" i="3" s="1"/>
  <c r="F76" i="3" s="1"/>
  <c r="D72" i="3"/>
  <c r="D71" i="3"/>
  <c r="D51" i="3"/>
  <c r="D40" i="3"/>
  <c r="E26" i="3" l="1"/>
  <c r="F26" i="3"/>
  <c r="D27" i="3"/>
  <c r="E27" i="3" s="1"/>
  <c r="F27" i="3" s="1"/>
  <c r="C19" i="5" l="1"/>
  <c r="C18" i="5"/>
  <c r="C16" i="5" l="1"/>
  <c r="C15" i="5"/>
  <c r="C14" i="5"/>
  <c r="C12" i="5"/>
  <c r="C13" i="5"/>
  <c r="C11" i="5"/>
  <c r="C10" i="5"/>
  <c r="C9" i="5"/>
  <c r="C8" i="5"/>
  <c r="C7" i="5"/>
  <c r="C6" i="5"/>
  <c r="C9" i="4"/>
  <c r="C16" i="4"/>
  <c r="C15" i="4"/>
  <c r="C14" i="4"/>
  <c r="C12" i="4"/>
  <c r="C13" i="4"/>
  <c r="C11" i="4"/>
  <c r="C10" i="4"/>
  <c r="C8" i="4"/>
  <c r="C7" i="4"/>
  <c r="C6" i="4"/>
  <c r="D16" i="4" l="1"/>
  <c r="D13" i="5"/>
  <c r="D37" i="3" l="1"/>
  <c r="D30" i="3"/>
  <c r="D31" i="3" s="1"/>
  <c r="D13" i="4" l="1"/>
  <c r="E62" i="3"/>
  <c r="F62" i="3" s="1"/>
  <c r="E63" i="3"/>
  <c r="F63" i="3" s="1"/>
  <c r="D61" i="3"/>
  <c r="E61" i="3" s="1"/>
  <c r="F61" i="3" s="1"/>
  <c r="C29" i="5" l="1"/>
  <c r="D28" i="5"/>
  <c r="D27" i="4"/>
  <c r="D29" i="5" l="1"/>
  <c r="C32" i="5"/>
  <c r="C35" i="5"/>
  <c r="C5" i="4" l="1"/>
  <c r="C17" i="4" s="1"/>
  <c r="C5" i="5"/>
  <c r="C17" i="5" s="1"/>
  <c r="C20" i="5" s="1"/>
  <c r="C19" i="4" l="1"/>
  <c r="D55" i="3" l="1"/>
  <c r="D25" i="3"/>
  <c r="D34" i="3" l="1"/>
  <c r="D73" i="3" l="1"/>
  <c r="D70" i="3"/>
  <c r="D41" i="3" l="1"/>
  <c r="D42" i="3" s="1"/>
  <c r="D54" i="3" l="1"/>
  <c r="D56" i="3" s="1"/>
  <c r="D35" i="3"/>
  <c r="D38" i="3" s="1"/>
  <c r="D50" i="3" l="1"/>
  <c r="E44" i="3"/>
  <c r="F44" i="3" s="1"/>
  <c r="D59" i="3"/>
  <c r="D57" i="3" s="1"/>
  <c r="E19" i="3"/>
  <c r="F19" i="3" s="1"/>
  <c r="E18" i="3"/>
  <c r="F18" i="3" s="1"/>
  <c r="D15" i="3"/>
  <c r="D6" i="5" l="1"/>
  <c r="D7" i="5"/>
  <c r="D8" i="5"/>
  <c r="D9" i="5"/>
  <c r="D10" i="5"/>
  <c r="D11" i="5"/>
  <c r="D12" i="5"/>
  <c r="D14" i="5"/>
  <c r="D15" i="5"/>
  <c r="D16" i="5"/>
  <c r="D18" i="5"/>
  <c r="D19" i="5"/>
  <c r="D22" i="5"/>
  <c r="D23" i="5"/>
  <c r="D24" i="5"/>
  <c r="D25" i="5"/>
  <c r="D26" i="5"/>
  <c r="D27" i="5"/>
  <c r="D6" i="4"/>
  <c r="D7" i="4"/>
  <c r="D8" i="4"/>
  <c r="D9" i="4"/>
  <c r="D10" i="4"/>
  <c r="D11" i="4"/>
  <c r="D12" i="4"/>
  <c r="D14" i="4"/>
  <c r="D15" i="4"/>
  <c r="D18" i="4"/>
  <c r="D21" i="4"/>
  <c r="D22" i="4"/>
  <c r="D23" i="4"/>
  <c r="D24" i="4"/>
  <c r="D25" i="4"/>
  <c r="D26" i="4"/>
  <c r="C34" i="5" l="1"/>
  <c r="D34" i="5" s="1"/>
  <c r="E55" i="3" l="1"/>
  <c r="F55" i="3" s="1"/>
  <c r="E47" i="3" l="1"/>
  <c r="F47" i="3" s="1"/>
  <c r="E46" i="3"/>
  <c r="F46" i="3" s="1"/>
  <c r="E54" i="3" l="1"/>
  <c r="F54" i="3" s="1"/>
  <c r="C20" i="4" l="1"/>
  <c r="D20" i="4" l="1"/>
  <c r="C28" i="4"/>
  <c r="E23" i="3"/>
  <c r="F23" i="3" s="1"/>
  <c r="D28" i="4" l="1"/>
  <c r="C29" i="4"/>
  <c r="D29" i="4" s="1"/>
  <c r="C30" i="4"/>
  <c r="D8" i="3"/>
  <c r="E59" i="3"/>
  <c r="F59" i="3" s="1"/>
  <c r="E58" i="3" l="1"/>
  <c r="F58" i="3" s="1"/>
  <c r="D5" i="3"/>
  <c r="E7" i="3"/>
  <c r="F7" i="3" s="1"/>
  <c r="C21" i="5" l="1"/>
  <c r="E70" i="3"/>
  <c r="F70" i="3" s="1"/>
  <c r="E71" i="3"/>
  <c r="F71" i="3" s="1"/>
  <c r="E72" i="3"/>
  <c r="F72" i="3" s="1"/>
  <c r="E73" i="3"/>
  <c r="F73" i="3" s="1"/>
  <c r="E48" i="3"/>
  <c r="F48" i="3" s="1"/>
  <c r="D35" i="5" l="1"/>
  <c r="D21" i="5"/>
  <c r="D5" i="5"/>
  <c r="D5" i="4"/>
  <c r="C36" i="5" l="1"/>
  <c r="D36" i="5" s="1"/>
  <c r="D17" i="5"/>
  <c r="D66" i="3" l="1"/>
  <c r="D20" i="5"/>
  <c r="D19" i="4"/>
  <c r="D17" i="4"/>
  <c r="D30" i="4"/>
  <c r="E45" i="3"/>
  <c r="F45" i="3" s="1"/>
  <c r="E6" i="3"/>
  <c r="F6" i="3" s="1"/>
  <c r="E9" i="3"/>
  <c r="F9" i="3" s="1"/>
  <c r="E10" i="3"/>
  <c r="F10" i="3" s="1"/>
  <c r="E11" i="3"/>
  <c r="F11" i="3" s="1"/>
  <c r="E13" i="3"/>
  <c r="F13" i="3" s="1"/>
  <c r="E14" i="3"/>
  <c r="F14" i="3" s="1"/>
  <c r="E16" i="3"/>
  <c r="F16" i="3" s="1"/>
  <c r="E17" i="3"/>
  <c r="F17" i="3" s="1"/>
  <c r="E28" i="3"/>
  <c r="F28" i="3" s="1"/>
  <c r="E29" i="3"/>
  <c r="F29" i="3" s="1"/>
  <c r="E21" i="3"/>
  <c r="F21" i="3" s="1"/>
  <c r="E24" i="3"/>
  <c r="F24" i="3" s="1"/>
  <c r="E25" i="3"/>
  <c r="F25" i="3" s="1"/>
  <c r="E20" i="3"/>
  <c r="F20" i="3" s="1"/>
  <c r="E22" i="3"/>
  <c r="F22" i="3" s="1"/>
  <c r="E32" i="3"/>
  <c r="F32" i="3" s="1"/>
  <c r="E34" i="3"/>
  <c r="F34" i="3" s="1"/>
  <c r="E36" i="3"/>
  <c r="F36" i="3" s="1"/>
  <c r="E43" i="3"/>
  <c r="F43" i="3" s="1"/>
  <c r="E52" i="3"/>
  <c r="F52" i="3" s="1"/>
  <c r="E60" i="3"/>
  <c r="F60" i="3" s="1"/>
  <c r="E69" i="3"/>
  <c r="F69" i="3" s="1"/>
  <c r="E49" i="3"/>
  <c r="F49" i="3" s="1"/>
  <c r="D30" i="5" l="1"/>
  <c r="D64" i="3"/>
  <c r="D68" i="3"/>
  <c r="E57" i="3"/>
  <c r="F57" i="3" s="1"/>
  <c r="E53" i="3"/>
  <c r="F53" i="3" s="1"/>
  <c r="E41" i="3"/>
  <c r="F41" i="3" s="1"/>
  <c r="E40" i="3"/>
  <c r="F40" i="3" s="1"/>
  <c r="E37" i="3"/>
  <c r="F37" i="3" s="1"/>
  <c r="E5" i="3"/>
  <c r="F5" i="3" s="1"/>
  <c r="E8" i="3"/>
  <c r="F8" i="3" s="1"/>
  <c r="E30" i="3"/>
  <c r="F30" i="3" s="1"/>
  <c r="E15" i="3"/>
  <c r="F15" i="3" s="1"/>
  <c r="E68" i="3" l="1"/>
  <c r="F68" i="3" s="1"/>
  <c r="E35" i="3"/>
  <c r="F35" i="3" s="1"/>
  <c r="E38" i="3"/>
  <c r="F38" i="3" s="1"/>
  <c r="E56" i="3"/>
  <c r="F56" i="3" s="1"/>
  <c r="E51" i="3"/>
  <c r="F51" i="3" s="1"/>
  <c r="E31" i="3"/>
  <c r="F31" i="3" s="1"/>
  <c r="E42" i="3" l="1"/>
  <c r="F42" i="3" s="1"/>
  <c r="D39" i="3"/>
  <c r="E39" i="3" s="1"/>
  <c r="F39" i="3" s="1"/>
  <c r="E50" i="3"/>
  <c r="F50" i="3" s="1"/>
  <c r="D12" i="3"/>
  <c r="D33" i="3"/>
  <c r="E33" i="3" s="1"/>
  <c r="F33" i="3" s="1"/>
  <c r="E12" i="3" l="1"/>
  <c r="F12" i="3" s="1"/>
  <c r="D65" i="3"/>
  <c r="E66" i="3"/>
  <c r="F66" i="3" s="1"/>
  <c r="D67" i="3" l="1"/>
  <c r="D74" i="3" s="1"/>
  <c r="E64" i="3"/>
  <c r="F64" i="3" s="1"/>
  <c r="E65" i="3" l="1"/>
  <c r="F65" i="3" s="1"/>
  <c r="E67" i="3" l="1"/>
  <c r="F67" i="3" s="1"/>
  <c r="E74" i="3"/>
  <c r="F74" i="3" s="1"/>
</calcChain>
</file>

<file path=xl/sharedStrings.xml><?xml version="1.0" encoding="utf-8"?>
<sst xmlns="http://schemas.openxmlformats.org/spreadsheetml/2006/main" count="254" uniqueCount="206">
  <si>
    <t>Демократическая, 43</t>
  </si>
  <si>
    <t>ремонт кровли</t>
  </si>
  <si>
    <t>т/о пожарной сигнализации и системы видеонаблюдения</t>
  </si>
  <si>
    <t>т/о СПИ о состоянии ПИ</t>
  </si>
  <si>
    <t>отопление</t>
  </si>
  <si>
    <t>Пульт охраны</t>
  </si>
  <si>
    <t>Эквант</t>
  </si>
  <si>
    <t>в том числе:</t>
  </si>
  <si>
    <t>Вид затрат</t>
  </si>
  <si>
    <t>наименование услуг</t>
  </si>
  <si>
    <t>№ п/п</t>
  </si>
  <si>
    <t>страхование лифтов</t>
  </si>
  <si>
    <t>МТС</t>
  </si>
  <si>
    <t>Налог по системе УСН (1% от поступлений ден.ср-в, за исключением ср-в на вознагрждение УК)</t>
  </si>
  <si>
    <t>В среднем за 1 месяц</t>
  </si>
  <si>
    <t>всего получено за все услуги</t>
  </si>
  <si>
    <t>техническое освидетельствование</t>
  </si>
  <si>
    <t>налоги с оплаты труда</t>
  </si>
  <si>
    <t>Работы по содержанию несущих и ненесущих конструкций</t>
  </si>
  <si>
    <t>1.1</t>
  </si>
  <si>
    <t>1.2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</si>
  <si>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</si>
  <si>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</si>
  <si>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</si>
  <si>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</si>
  <si>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</si>
  <si>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</si>
  <si>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</si>
  <si>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</si>
  <si>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</si>
  <si>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</si>
  <si>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</si>
  <si>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</si>
  <si>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</si>
  <si>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</si>
  <si>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</si>
  <si>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</si>
  <si>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</si>
  <si>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</si>
  <si>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</si>
  <si>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4.1</t>
  </si>
  <si>
    <t>4.4</t>
  </si>
  <si>
    <t>4.5</t>
  </si>
  <si>
    <t>Работы по содержанию помещений, входящих в состав МКД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</si>
  <si>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</si>
  <si>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</si>
  <si>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</si>
  <si>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</si>
  <si>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</si>
  <si>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</si>
  <si>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</si>
  <si>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</si>
  <si>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</si>
  <si>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</si>
  <si>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</si>
  <si>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Работы по содержанию земельного участка с элементами благоустройства</t>
  </si>
  <si>
    <t>7.1</t>
  </si>
  <si>
    <t>Проведение дератизации и дезинсекции</t>
  </si>
  <si>
    <t>Итого всех затрат по дому</t>
  </si>
  <si>
    <t>Т2 Мобайл</t>
  </si>
  <si>
    <t>1.3</t>
  </si>
  <si>
    <t>1.4</t>
  </si>
  <si>
    <t>1.5</t>
  </si>
  <si>
    <t>1.6</t>
  </si>
  <si>
    <t>1.7</t>
  </si>
  <si>
    <t>1.8</t>
  </si>
  <si>
    <t>20 процентов от суммы поступлений от собственников за техническое содержание</t>
  </si>
  <si>
    <t>на 1 кв.м. в мес.</t>
  </si>
  <si>
    <t>расходные уборочные материалы</t>
  </si>
  <si>
    <t>услуги тревожной кнопки</t>
  </si>
  <si>
    <t>на 1 кв.м. в месяц</t>
  </si>
  <si>
    <t>начислено поставщикам (исполнителям услуг)</t>
  </si>
  <si>
    <t>начислено заказчикам (потребителям услуг)</t>
  </si>
  <si>
    <t>оплачено заказчиками (потребителям услуг)</t>
  </si>
  <si>
    <t>всего начислено за все услуги</t>
  </si>
  <si>
    <t>пени</t>
  </si>
  <si>
    <t>Безопасность дома</t>
  </si>
  <si>
    <t>круглосуточный пост охраны (с функциями аварийно-диспетчерской службы)</t>
  </si>
  <si>
    <t>Содержание и ремонт лифтов</t>
  </si>
  <si>
    <t>техническое и аварийное обслуживание</t>
  </si>
  <si>
    <t>Содержание и ремонт оборудования и систем инженерно-технического обеспечения</t>
  </si>
  <si>
    <t>т/о насосного оборудования (водоподкачки и индивидуального теплового пункта)</t>
  </si>
  <si>
    <t>работы по надлежащему содержанию электрооборудования</t>
  </si>
  <si>
    <t>работы по надлежащему содержаню системы водоснабжения, отопления и водоотведения</t>
  </si>
  <si>
    <t>работы по контролю за работой оборудования и систем ИТО</t>
  </si>
  <si>
    <t>контроль и проверка состояния конструктивных элементов</t>
  </si>
  <si>
    <t>работы по уборке помещений, входящих в состав общего имущества</t>
  </si>
  <si>
    <t>работы по содержанию помещений, входящих в состав общего имущества</t>
  </si>
  <si>
    <t>уборка придомовой территории</t>
  </si>
  <si>
    <t>холодное водоснабжение</t>
  </si>
  <si>
    <t>водоотведение</t>
  </si>
  <si>
    <t>электропотребление</t>
  </si>
  <si>
    <t>горячее водоснабжение</t>
  </si>
  <si>
    <t>начислено арендаторам МОП</t>
  </si>
  <si>
    <t>поступления от арендаторов МОП</t>
  </si>
  <si>
    <t>всего получено от собственников и арендаторов</t>
  </si>
  <si>
    <t>расчет затрат на управление</t>
  </si>
  <si>
    <t>всего затраты на управление</t>
  </si>
  <si>
    <t>снятие показаний приборов учета тепловой энергии</t>
  </si>
  <si>
    <t>вывоз ТБО (с переходом права собственности)</t>
  </si>
  <si>
    <t>5.8</t>
  </si>
  <si>
    <t>7.2.</t>
  </si>
  <si>
    <t>холодное водоснабжение (с учетом холодной воды для нужд горячей)</t>
  </si>
  <si>
    <t>горячее водоснабжение (стоимость тепла)</t>
  </si>
  <si>
    <t>Бытовые отходы</t>
  </si>
  <si>
    <t>Вымпел-Коммуникации</t>
  </si>
  <si>
    <t>6.5</t>
  </si>
  <si>
    <t>прочие электротовары</t>
  </si>
  <si>
    <t>5.9</t>
  </si>
  <si>
    <t>5.10</t>
  </si>
  <si>
    <t>материалы на благоустройство</t>
  </si>
  <si>
    <t>4.2</t>
  </si>
  <si>
    <t>4.3</t>
  </si>
  <si>
    <t>6.6</t>
  </si>
  <si>
    <t>ремонт контейнеров (замена колес и т.п.)</t>
  </si>
  <si>
    <t>промывка системы отопления, прочистка труб теплового пункта перед началом отопительного сезона</t>
  </si>
  <si>
    <t>материалы по проведенным ремонтам</t>
  </si>
  <si>
    <t>магнитные ключи</t>
  </si>
  <si>
    <t>всего начислено за все услуги с учетом пени</t>
  </si>
  <si>
    <t>8.1</t>
  </si>
  <si>
    <t>8.2</t>
  </si>
  <si>
    <t>всего получено за коммунальные услуги</t>
  </si>
  <si>
    <t xml:space="preserve">пеня </t>
  </si>
  <si>
    <t>всего начислено за коммунальные услуги</t>
  </si>
  <si>
    <t>расходы 2017</t>
  </si>
  <si>
    <t>доходы 2017</t>
  </si>
  <si>
    <t>Сумма за год, руб.</t>
  </si>
  <si>
    <t>начислено за год, руб.</t>
  </si>
  <si>
    <t>оплачено за год, руб.</t>
  </si>
  <si>
    <t>перезарядка огнетушителей (одиночная)</t>
  </si>
  <si>
    <t>ремонт системы видеонаблюдения и замена оборудования (покупка камеры, блоков питания, расходников)</t>
  </si>
  <si>
    <t xml:space="preserve">материалы по ремонту насосного оборудования (регламентная замена всех подшипников и комплектов уплотнения валов к насосу) </t>
  </si>
  <si>
    <t>электротовары (лампы светодиодные)</t>
  </si>
  <si>
    <t>электротовары (прожектор)</t>
  </si>
  <si>
    <t>работы по благоустройству з/у (переустройство ливневой трубы, установка перил на вх. лест. группе)</t>
  </si>
  <si>
    <r>
      <t>работы по косметическому ремонту мест общего пользования</t>
    </r>
    <r>
      <rPr>
        <sz val="8"/>
        <rFont val="Courier New"/>
        <family val="3"/>
        <charset val="204"/>
      </rPr>
      <t xml:space="preserve"> (сплошная покраска холлов 3, 4, 5, 6, 7, 8, 9 этажей, частичная покраска холла 1 этажа, ремонт входной лестничной группы - демонтаж/монтаж плитки на стене, покраска потолка, устройство доп. анкеров крепления кронштейнов направляющих лифт. шахты, демонтаж/монтаж плитки на обрамлении лифтовых входов на 3, 5, 6, 9, 12 - 19 этажах)</t>
    </r>
  </si>
  <si>
    <t xml:space="preserve">материалы по сантехническим работам (ремонт и переустройство системы водоснабжения, ливневки и пр.) </t>
  </si>
  <si>
    <t>замена напольного покрытия в лифтовых кабинах</t>
  </si>
  <si>
    <t>расходные слесарные и прочие материалы (замки, сердцевины замков, ключи и т.п.)</t>
  </si>
  <si>
    <t>2.3</t>
  </si>
  <si>
    <t>т/о домофонной системы</t>
  </si>
  <si>
    <t>работы по переустройству системы водоснабжения в водомерном узле</t>
  </si>
  <si>
    <t>работы по ремонту системы водоснабжения в подвале</t>
  </si>
  <si>
    <t>3.18</t>
  </si>
  <si>
    <t xml:space="preserve">работы по ремонту насосного оборудования (регламентная замена всех подшипников и комплектов уплотнения валов к насосам холодного водоснабжения) </t>
  </si>
  <si>
    <t>водоотведение СОИ</t>
  </si>
  <si>
    <t>ЭР-Телеком Холдинг</t>
  </si>
  <si>
    <t>13.1</t>
  </si>
  <si>
    <t>13.2</t>
  </si>
  <si>
    <t>13.3</t>
  </si>
  <si>
    <t>13.4</t>
  </si>
  <si>
    <t>13.5</t>
  </si>
  <si>
    <t>в том числе затраты электроэнергии</t>
  </si>
  <si>
    <t>итого начислено арендаторам МОП за минусом электроэнергии</t>
  </si>
  <si>
    <t>6А</t>
  </si>
  <si>
    <t>в том числе электроэнергия</t>
  </si>
  <si>
    <t>6.7</t>
  </si>
  <si>
    <t>итого поступления от арендаторов МОП за минусом электроэнергии</t>
  </si>
  <si>
    <t>Потери по электроснабжению и теплоснабжению</t>
  </si>
  <si>
    <t>9.1.</t>
  </si>
  <si>
    <t>9.2.</t>
  </si>
  <si>
    <t>тепло для нужд ГВС (за минусом потерь)</t>
  </si>
  <si>
    <t>горячее водоснабжение СОИ</t>
  </si>
  <si>
    <t>холодное водоснабжение СОИ</t>
  </si>
  <si>
    <t>электропотребление СОИ</t>
  </si>
  <si>
    <t>1.9</t>
  </si>
  <si>
    <t>содержание</t>
  </si>
  <si>
    <t>7.2</t>
  </si>
  <si>
    <t>7.3</t>
  </si>
  <si>
    <t>7.4</t>
  </si>
  <si>
    <t>7.5</t>
  </si>
  <si>
    <t>7.6</t>
  </si>
  <si>
    <t>7.7</t>
  </si>
  <si>
    <t>7А</t>
  </si>
  <si>
    <r>
      <t>всего начислено собственникам и арендаторам</t>
    </r>
    <r>
      <rPr>
        <b/>
        <sz val="8"/>
        <color theme="1"/>
        <rFont val="Courier New"/>
        <family val="3"/>
        <charset val="204"/>
      </rPr>
      <t xml:space="preserve"> (за минусом электропотребления арендаторов)</t>
    </r>
  </si>
  <si>
    <t>потери по электроснабжению, выставляемые РСО</t>
  </si>
  <si>
    <t>потери по теплоснабжению, выставляемые РСО и внутридомовые потери</t>
  </si>
  <si>
    <t>8</t>
  </si>
  <si>
    <t>всего получено за содержание и от ареды МОП (за минусом электроэнергии)</t>
  </si>
  <si>
    <r>
      <t>15 процентов от суммы арендных поступлений</t>
    </r>
    <r>
      <rPr>
        <sz val="8"/>
        <color theme="1"/>
        <rFont val="Courier New"/>
        <family val="3"/>
        <charset val="204"/>
      </rPr>
      <t xml:space="preserve"> (за минусом электроэнергии)</t>
    </r>
  </si>
  <si>
    <t>дополнительные виды услуг</t>
  </si>
  <si>
    <t>всего получено за содержание, коммунальные и дополнительные услуги</t>
  </si>
  <si>
    <t>разница в авансах 01.01.17-01.01.18</t>
  </si>
  <si>
    <t xml:space="preserve">дополнительные услуги </t>
  </si>
  <si>
    <r>
      <t xml:space="preserve">всего начислено за содержание, арендаторам </t>
    </r>
    <r>
      <rPr>
        <b/>
        <sz val="8"/>
        <color theme="1"/>
        <rFont val="Courier New"/>
        <family val="3"/>
        <charset val="204"/>
      </rPr>
      <t>(за минусом электроэнергии)</t>
    </r>
  </si>
  <si>
    <t>энергоаудит</t>
  </si>
  <si>
    <t>документы согласований с МУП Водоканал</t>
  </si>
  <si>
    <t>3.19</t>
  </si>
  <si>
    <t>3.20</t>
  </si>
  <si>
    <t>спецодежда для уборщиц</t>
  </si>
  <si>
    <t>содержание придомовой территории и зеленых насаждений</t>
  </si>
  <si>
    <t>посадочный материал</t>
  </si>
  <si>
    <t>ИТОГО РАСХОДЫ НА СОДЕРЖАНИЕ</t>
  </si>
  <si>
    <t>ИТОГО РАСХОДЫ НА СОДЕРЖАНИЕ БЕЗ РАСХОДОВ НА УПРАВЛЕНИЕ</t>
  </si>
  <si>
    <t>Расходы на управление (20% от суммы поступлений за оплату содержания, 15% от суммы поступлений за аренду мест общего пользования)</t>
  </si>
  <si>
    <t>электропотребление (за минусом потерь, арендаторов, офиса)</t>
  </si>
  <si>
    <t>Начислено поставщиками коммунальных услуг (за минусом эл/эн арендаторов, офиса, потерь по эл/эн и теплу, МУПК)</t>
  </si>
  <si>
    <t>Начислено поставщиками коммунальных услуг (за минусом МУПК)</t>
  </si>
  <si>
    <t xml:space="preserve">электропотребление </t>
  </si>
  <si>
    <t>тепло для нужд ГВС</t>
  </si>
  <si>
    <t>15.1</t>
  </si>
  <si>
    <t>15.2</t>
  </si>
  <si>
    <t>15.3</t>
  </si>
  <si>
    <t>15.4</t>
  </si>
  <si>
    <t>15.5</t>
  </si>
  <si>
    <t>справочно: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</si>
</sst>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Courier New"/>
      <family val="3"/>
      <charset val="204"/>
    </font>
    <font>
      <sz val="12"/>
      <name val="Courier New"/>
      <family val="3"/>
      <charset val="204"/>
    </font>
    <font>
      <b/>
      <i/>
      <sz val="12"/>
      <name val="Courier New"/>
      <family val="3"/>
      <charset val="204"/>
    </font>
    <font>
      <sz val="12"/>
      <color theme="1"/>
      <name val="Courier New"/>
      <family val="3"/>
      <charset val="204"/>
    </font>
    <font>
      <b/>
      <sz val="12"/>
      <color theme="1"/>
      <name val="Courier New"/>
      <family val="3"/>
      <charset val="204"/>
    </font>
    <font>
      <i/>
      <sz val="12"/>
      <name val="Courier New"/>
      <family val="3"/>
      <charset val="204"/>
    </font>
    <font>
      <sz val="8"/>
      <name val="Courier New"/>
      <family val="3"/>
      <charset val="204"/>
    </font>
    <font>
      <b/>
      <sz val="8"/>
      <color theme="1"/>
      <name val="Courier New"/>
      <family val="3"/>
      <charset val="204"/>
    </font>
    <font>
      <sz val="8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top" wrapText="1"/>
    </xf>
    <xf numFmtId="0" fontId="3" fillId="0" borderId="3" xfId="1" applyNumberFormat="1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164" fontId="6" fillId="0" borderId="1" xfId="0" applyNumberFormat="1" applyFont="1" applyBorder="1"/>
    <xf numFmtId="164" fontId="5" fillId="0" borderId="0" xfId="0" applyNumberFormat="1" applyFont="1"/>
    <xf numFmtId="164" fontId="3" fillId="0" borderId="0" xfId="0" applyNumberFormat="1" applyFont="1" applyFill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wrapText="1"/>
    </xf>
    <xf numFmtId="0" fontId="3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/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164" fontId="4" fillId="0" borderId="7" xfId="1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8" xfId="1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165" fontId="5" fillId="0" borderId="0" xfId="0" applyNumberFormat="1" applyFont="1"/>
    <xf numFmtId="164" fontId="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/>
    <xf numFmtId="164" fontId="5" fillId="0" borderId="2" xfId="0" applyNumberFormat="1" applyFont="1" applyBorder="1"/>
    <xf numFmtId="164" fontId="5" fillId="0" borderId="2" xfId="0" applyNumberFormat="1" applyFont="1" applyFill="1" applyBorder="1"/>
    <xf numFmtId="164" fontId="6" fillId="0" borderId="8" xfId="0" applyNumberFormat="1" applyFont="1" applyBorder="1"/>
    <xf numFmtId="164" fontId="5" fillId="0" borderId="8" xfId="0" applyNumberFormat="1" applyFont="1" applyBorder="1"/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5" fillId="0" borderId="2" xfId="0" applyFont="1" applyBorder="1" applyAlignment="1">
      <alignment wrapText="1"/>
    </xf>
    <xf numFmtId="164" fontId="5" fillId="0" borderId="1" xfId="0" applyNumberFormat="1" applyFont="1" applyFill="1" applyBorder="1"/>
    <xf numFmtId="0" fontId="6" fillId="0" borderId="8" xfId="0" applyFont="1" applyBorder="1" applyAlignment="1">
      <alignment wrapText="1"/>
    </xf>
    <xf numFmtId="164" fontId="6" fillId="0" borderId="13" xfId="0" applyNumberFormat="1" applyFont="1" applyFill="1" applyBorder="1"/>
    <xf numFmtId="164" fontId="6" fillId="0" borderId="1" xfId="0" applyNumberFormat="1" applyFont="1" applyFill="1" applyBorder="1"/>
    <xf numFmtId="164" fontId="3" fillId="2" borderId="2" xfId="1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164" fontId="6" fillId="0" borderId="14" xfId="0" applyNumberFormat="1" applyFont="1" applyFill="1" applyBorder="1"/>
    <xf numFmtId="49" fontId="6" fillId="0" borderId="1" xfId="0" applyNumberFormat="1" applyFont="1" applyBorder="1"/>
    <xf numFmtId="165" fontId="5" fillId="0" borderId="6" xfId="0" applyNumberFormat="1" applyFont="1" applyBorder="1"/>
    <xf numFmtId="164" fontId="6" fillId="0" borderId="5" xfId="0" applyNumberFormat="1" applyFont="1" applyFill="1" applyBorder="1"/>
    <xf numFmtId="0" fontId="4" fillId="0" borderId="2" xfId="1" applyNumberFormat="1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right"/>
    </xf>
    <xf numFmtId="164" fontId="6" fillId="3" borderId="1" xfId="0" applyNumberFormat="1" applyFont="1" applyFill="1" applyBorder="1"/>
    <xf numFmtId="164" fontId="4" fillId="3" borderId="12" xfId="1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/>
    <xf numFmtId="164" fontId="5" fillId="0" borderId="5" xfId="0" applyNumberFormat="1" applyFont="1" applyFill="1" applyBorder="1"/>
    <xf numFmtId="0" fontId="2" fillId="0" borderId="4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0" fontId="2" fillId="0" borderId="0" xfId="1" applyNumberFormat="1" applyFont="1" applyFill="1" applyAlignment="1">
      <alignment horizont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 wrapText="1"/>
    </xf>
    <xf numFmtId="0" fontId="4" fillId="0" borderId="10" xfId="1" applyNumberFormat="1" applyFont="1" applyFill="1" applyBorder="1" applyAlignment="1">
      <alignment horizontal="left" vertical="top" wrapText="1"/>
    </xf>
    <xf numFmtId="0" fontId="4" fillId="0" borderId="11" xfId="1" applyNumberFormat="1" applyFont="1" applyFill="1" applyBorder="1" applyAlignment="1">
      <alignment horizontal="left" vertical="top" wrapText="1"/>
    </xf>
    <xf numFmtId="0" fontId="2" fillId="0" borderId="6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selection activeCell="G1" sqref="G1"/>
    </sheetView>
  </sheetViews>
  <sheetFormatPr defaultRowHeight="15.75" x14ac:dyDescent="0.25"/>
  <cols>
    <col min="1" max="1" width="8.140625" style="1" customWidth="1"/>
    <col min="2" max="2" width="6.7109375" style="2" customWidth="1"/>
    <col min="3" max="3" width="60.7109375" style="2" customWidth="1"/>
    <col min="4" max="4" width="18.7109375" style="19" customWidth="1"/>
    <col min="5" max="5" width="16.7109375" style="19" customWidth="1"/>
    <col min="6" max="6" width="12.7109375" style="34" bestFit="1" customWidth="1"/>
    <col min="7" max="16384" width="9.140625" style="2"/>
  </cols>
  <sheetData>
    <row r="1" spans="1:6" ht="16.5" customHeight="1" x14ac:dyDescent="0.3">
      <c r="A1" s="73" t="s">
        <v>124</v>
      </c>
      <c r="B1" s="73"/>
      <c r="C1" s="73"/>
      <c r="D1" s="73"/>
      <c r="E1" s="73"/>
      <c r="F1" s="73"/>
    </row>
    <row r="2" spans="1:6" ht="16.5" customHeight="1" x14ac:dyDescent="0.3">
      <c r="A2" s="72" t="s">
        <v>0</v>
      </c>
      <c r="B2" s="72"/>
      <c r="C2" s="72"/>
      <c r="D2" s="72"/>
      <c r="E2" s="72"/>
      <c r="F2" s="72"/>
    </row>
    <row r="3" spans="1:6" ht="16.5" x14ac:dyDescent="0.3">
      <c r="A3" s="71" t="s">
        <v>71</v>
      </c>
      <c r="B3" s="71"/>
      <c r="C3" s="71"/>
      <c r="D3" s="71"/>
      <c r="E3" s="71"/>
      <c r="F3" s="71"/>
    </row>
    <row r="4" spans="1:6" s="5" customFormat="1" ht="47.25" x14ac:dyDescent="0.25">
      <c r="A4" s="4" t="s">
        <v>10</v>
      </c>
      <c r="B4" s="74" t="s">
        <v>8</v>
      </c>
      <c r="C4" s="74"/>
      <c r="D4" s="22" t="s">
        <v>126</v>
      </c>
      <c r="E4" s="23" t="s">
        <v>14</v>
      </c>
      <c r="F4" s="33" t="s">
        <v>67</v>
      </c>
    </row>
    <row r="5" spans="1:6" ht="16.5" x14ac:dyDescent="0.25">
      <c r="A5" s="20">
        <v>1</v>
      </c>
      <c r="B5" s="75" t="s">
        <v>76</v>
      </c>
      <c r="C5" s="75"/>
      <c r="D5" s="24">
        <f>SUM(D6:D7)</f>
        <v>1416000</v>
      </c>
      <c r="E5" s="27">
        <f>D5/12</f>
        <v>118000</v>
      </c>
      <c r="F5" s="35">
        <f>E5/11891</f>
        <v>9.923471533092254</v>
      </c>
    </row>
    <row r="6" spans="1:6" ht="31.5" x14ac:dyDescent="0.25">
      <c r="A6" s="31" t="s">
        <v>19</v>
      </c>
      <c r="B6" s="6"/>
      <c r="C6" s="7" t="s">
        <v>77</v>
      </c>
      <c r="D6" s="25">
        <v>1404000</v>
      </c>
      <c r="E6" s="27">
        <f t="shared" ref="E6:E60" si="0">D6/12</f>
        <v>117000</v>
      </c>
      <c r="F6" s="35">
        <f t="shared" ref="F6:F69" si="1">E6/11891</f>
        <v>9.8393743167101171</v>
      </c>
    </row>
    <row r="7" spans="1:6" ht="16.5" x14ac:dyDescent="0.25">
      <c r="A7" s="31" t="s">
        <v>20</v>
      </c>
      <c r="B7" s="6"/>
      <c r="C7" s="7" t="s">
        <v>69</v>
      </c>
      <c r="D7" s="25">
        <v>12000</v>
      </c>
      <c r="E7" s="27">
        <f t="shared" ref="E7" si="2">D7/12</f>
        <v>1000</v>
      </c>
      <c r="F7" s="35">
        <f t="shared" si="1"/>
        <v>8.4097216382137754E-2</v>
      </c>
    </row>
    <row r="8" spans="1:6" ht="16.5" x14ac:dyDescent="0.25">
      <c r="A8" s="20">
        <v>2</v>
      </c>
      <c r="B8" s="75" t="s">
        <v>78</v>
      </c>
      <c r="C8" s="75"/>
      <c r="D8" s="24">
        <f>SUM(D9:D11)</f>
        <v>323747</v>
      </c>
      <c r="E8" s="27">
        <f t="shared" si="0"/>
        <v>26978.916666666668</v>
      </c>
      <c r="F8" s="35">
        <f t="shared" si="1"/>
        <v>2.2688517926723293</v>
      </c>
    </row>
    <row r="9" spans="1:6" ht="16.5" x14ac:dyDescent="0.25">
      <c r="A9" s="31" t="s">
        <v>21</v>
      </c>
      <c r="B9" s="6"/>
      <c r="C9" s="7" t="s">
        <v>79</v>
      </c>
      <c r="D9" s="25">
        <v>294384</v>
      </c>
      <c r="E9" s="27">
        <f t="shared" si="0"/>
        <v>24532</v>
      </c>
      <c r="F9" s="35">
        <f t="shared" si="1"/>
        <v>2.0630729122866032</v>
      </c>
    </row>
    <row r="10" spans="1:6" ht="16.5" x14ac:dyDescent="0.25">
      <c r="A10" s="31" t="s">
        <v>22</v>
      </c>
      <c r="B10" s="6"/>
      <c r="C10" s="7" t="s">
        <v>16</v>
      </c>
      <c r="D10" s="25">
        <v>28500</v>
      </c>
      <c r="E10" s="27">
        <f t="shared" si="0"/>
        <v>2375</v>
      </c>
      <c r="F10" s="35">
        <f t="shared" si="1"/>
        <v>0.19973088890757715</v>
      </c>
    </row>
    <row r="11" spans="1:6" ht="16.5" x14ac:dyDescent="0.25">
      <c r="A11" s="31" t="s">
        <v>139</v>
      </c>
      <c r="B11" s="6"/>
      <c r="C11" s="7" t="s">
        <v>11</v>
      </c>
      <c r="D11" s="56">
        <v>863</v>
      </c>
      <c r="E11" s="27">
        <f t="shared" si="0"/>
        <v>71.916666666666671</v>
      </c>
      <c r="F11" s="35">
        <f t="shared" si="1"/>
        <v>6.0479914781487402E-3</v>
      </c>
    </row>
    <row r="12" spans="1:6" ht="33" customHeight="1" x14ac:dyDescent="0.25">
      <c r="A12" s="20">
        <v>3</v>
      </c>
      <c r="B12" s="75" t="s">
        <v>80</v>
      </c>
      <c r="C12" s="75"/>
      <c r="D12" s="24">
        <f>SUM(D13:D32)</f>
        <v>951892.75816799991</v>
      </c>
      <c r="E12" s="27">
        <f t="shared" si="0"/>
        <v>79324.396513999993</v>
      </c>
      <c r="F12" s="35">
        <f t="shared" si="1"/>
        <v>6.6709609380203512</v>
      </c>
    </row>
    <row r="13" spans="1:6" ht="31.5" x14ac:dyDescent="0.25">
      <c r="A13" s="31" t="s">
        <v>23</v>
      </c>
      <c r="B13" s="6"/>
      <c r="C13" s="7" t="s">
        <v>2</v>
      </c>
      <c r="D13" s="25">
        <v>192000</v>
      </c>
      <c r="E13" s="27">
        <f t="shared" si="0"/>
        <v>16000</v>
      </c>
      <c r="F13" s="35">
        <f t="shared" si="1"/>
        <v>1.3455554621142041</v>
      </c>
    </row>
    <row r="14" spans="1:6" ht="16.5" x14ac:dyDescent="0.25">
      <c r="A14" s="31" t="s">
        <v>24</v>
      </c>
      <c r="B14" s="6"/>
      <c r="C14" s="7" t="s">
        <v>3</v>
      </c>
      <c r="D14" s="25">
        <v>27763</v>
      </c>
      <c r="E14" s="27">
        <f t="shared" si="0"/>
        <v>2313.5833333333335</v>
      </c>
      <c r="F14" s="35">
        <f t="shared" si="1"/>
        <v>0.19456591820144087</v>
      </c>
    </row>
    <row r="15" spans="1:6" ht="47.25" x14ac:dyDescent="0.25">
      <c r="A15" s="31" t="s">
        <v>25</v>
      </c>
      <c r="B15" s="6"/>
      <c r="C15" s="7" t="s">
        <v>130</v>
      </c>
      <c r="D15" s="25">
        <f>6185+450</f>
        <v>6635</v>
      </c>
      <c r="E15" s="27">
        <f t="shared" si="0"/>
        <v>552.91666666666663</v>
      </c>
      <c r="F15" s="35">
        <f t="shared" si="1"/>
        <v>4.6498752557956997E-2</v>
      </c>
    </row>
    <row r="16" spans="1:6" ht="16.5" x14ac:dyDescent="0.25">
      <c r="A16" s="31" t="s">
        <v>26</v>
      </c>
      <c r="B16" s="6"/>
      <c r="C16" s="7" t="s">
        <v>140</v>
      </c>
      <c r="D16" s="25">
        <v>45000</v>
      </c>
      <c r="E16" s="27">
        <f t="shared" si="0"/>
        <v>3750</v>
      </c>
      <c r="F16" s="35">
        <f t="shared" si="1"/>
        <v>0.31536456143301655</v>
      </c>
    </row>
    <row r="17" spans="1:6" ht="31.5" x14ac:dyDescent="0.25">
      <c r="A17" s="31" t="s">
        <v>27</v>
      </c>
      <c r="B17" s="6"/>
      <c r="C17" s="7" t="s">
        <v>81</v>
      </c>
      <c r="D17" s="25">
        <v>29200</v>
      </c>
      <c r="E17" s="27">
        <f t="shared" si="0"/>
        <v>2433.3333333333335</v>
      </c>
      <c r="F17" s="35">
        <f t="shared" si="1"/>
        <v>0.20463655986320187</v>
      </c>
    </row>
    <row r="18" spans="1:6" ht="63" x14ac:dyDescent="0.25">
      <c r="A18" s="31" t="s">
        <v>28</v>
      </c>
      <c r="B18" s="6"/>
      <c r="C18" s="7" t="s">
        <v>144</v>
      </c>
      <c r="D18" s="25">
        <v>50800</v>
      </c>
      <c r="E18" s="27">
        <f t="shared" si="0"/>
        <v>4233.333333333333</v>
      </c>
      <c r="F18" s="35">
        <f t="shared" si="1"/>
        <v>0.35601154935104978</v>
      </c>
    </row>
    <row r="19" spans="1:6" ht="63" x14ac:dyDescent="0.25">
      <c r="A19" s="31" t="s">
        <v>29</v>
      </c>
      <c r="B19" s="6"/>
      <c r="C19" s="7" t="s">
        <v>131</v>
      </c>
      <c r="D19" s="25">
        <v>53640</v>
      </c>
      <c r="E19" s="27">
        <f t="shared" si="0"/>
        <v>4470</v>
      </c>
      <c r="F19" s="35">
        <f t="shared" si="1"/>
        <v>0.37591455722815575</v>
      </c>
    </row>
    <row r="20" spans="1:6" ht="16.5" x14ac:dyDescent="0.25">
      <c r="A20" s="31" t="s">
        <v>30</v>
      </c>
      <c r="B20" s="6"/>
      <c r="C20" s="7" t="s">
        <v>129</v>
      </c>
      <c r="D20" s="25">
        <v>8000</v>
      </c>
      <c r="E20" s="27">
        <f t="shared" ref="E20:E25" si="3">D20/12</f>
        <v>666.66666666666663</v>
      </c>
      <c r="F20" s="35">
        <f t="shared" si="1"/>
        <v>5.6064810921425165E-2</v>
      </c>
    </row>
    <row r="21" spans="1:6" ht="31.5" x14ac:dyDescent="0.25">
      <c r="A21" s="31" t="s">
        <v>31</v>
      </c>
      <c r="B21" s="6"/>
      <c r="C21" s="7" t="s">
        <v>98</v>
      </c>
      <c r="D21" s="25">
        <v>15000</v>
      </c>
      <c r="E21" s="27">
        <f t="shared" si="3"/>
        <v>1250</v>
      </c>
      <c r="F21" s="35">
        <f t="shared" si="1"/>
        <v>0.10512152047767219</v>
      </c>
    </row>
    <row r="22" spans="1:6" ht="47.25" x14ac:dyDescent="0.25">
      <c r="A22" s="31" t="s">
        <v>32</v>
      </c>
      <c r="B22" s="6"/>
      <c r="C22" s="7" t="s">
        <v>115</v>
      </c>
      <c r="D22" s="25">
        <v>20000</v>
      </c>
      <c r="E22" s="27">
        <f t="shared" si="3"/>
        <v>1666.6666666666667</v>
      </c>
      <c r="F22" s="35">
        <f t="shared" si="1"/>
        <v>0.14016202730356292</v>
      </c>
    </row>
    <row r="23" spans="1:6" ht="31.5" x14ac:dyDescent="0.25">
      <c r="A23" s="31" t="s">
        <v>33</v>
      </c>
      <c r="B23" s="6"/>
      <c r="C23" s="7" t="s">
        <v>141</v>
      </c>
      <c r="D23" s="25">
        <v>5750</v>
      </c>
      <c r="E23" s="27">
        <f t="shared" si="3"/>
        <v>479.16666666666669</v>
      </c>
      <c r="F23" s="35">
        <f t="shared" si="1"/>
        <v>4.0296582849774339E-2</v>
      </c>
    </row>
    <row r="24" spans="1:6" ht="31.5" x14ac:dyDescent="0.25">
      <c r="A24" s="31" t="s">
        <v>34</v>
      </c>
      <c r="B24" s="6"/>
      <c r="C24" s="7" t="s">
        <v>142</v>
      </c>
      <c r="D24" s="25">
        <v>7475</v>
      </c>
      <c r="E24" s="27">
        <f t="shared" si="3"/>
        <v>622.91666666666663</v>
      </c>
      <c r="F24" s="35">
        <f t="shared" si="1"/>
        <v>5.238555770470664E-2</v>
      </c>
    </row>
    <row r="25" spans="1:6" ht="47.25" x14ac:dyDescent="0.25">
      <c r="A25" s="31" t="s">
        <v>35</v>
      </c>
      <c r="B25" s="6"/>
      <c r="C25" s="7" t="s">
        <v>136</v>
      </c>
      <c r="D25" s="25">
        <f>12502+1326</f>
        <v>13828</v>
      </c>
      <c r="E25" s="27">
        <f t="shared" si="3"/>
        <v>1152.3333333333333</v>
      </c>
      <c r="F25" s="35">
        <f t="shared" si="1"/>
        <v>9.690802567768339E-2</v>
      </c>
    </row>
    <row r="26" spans="1:6" ht="16.5" x14ac:dyDescent="0.25">
      <c r="A26" s="31" t="s">
        <v>36</v>
      </c>
      <c r="B26" s="6"/>
      <c r="C26" s="7" t="s">
        <v>185</v>
      </c>
      <c r="D26" s="25">
        <v>11880</v>
      </c>
      <c r="E26" s="27">
        <f t="shared" ref="E26:E27" si="4">D26/12</f>
        <v>990</v>
      </c>
      <c r="F26" s="35">
        <f t="shared" ref="F26:F27" si="5">E26/11891</f>
        <v>8.3256244218316372E-2</v>
      </c>
    </row>
    <row r="27" spans="1:6" ht="16.5" x14ac:dyDescent="0.25">
      <c r="A27" s="31" t="s">
        <v>37</v>
      </c>
      <c r="B27" s="6"/>
      <c r="C27" s="7" t="s">
        <v>186</v>
      </c>
      <c r="D27" s="25">
        <f>2800+808</f>
        <v>3608</v>
      </c>
      <c r="E27" s="27">
        <f t="shared" si="4"/>
        <v>300.66666666666669</v>
      </c>
      <c r="F27" s="35">
        <f t="shared" si="5"/>
        <v>2.5285229725562752E-2</v>
      </c>
    </row>
    <row r="28" spans="1:6" ht="31.5" x14ac:dyDescent="0.25">
      <c r="A28" s="31" t="s">
        <v>38</v>
      </c>
      <c r="B28" s="6"/>
      <c r="C28" s="7" t="s">
        <v>82</v>
      </c>
      <c r="D28" s="25">
        <v>95344</v>
      </c>
      <c r="E28" s="27">
        <f t="shared" si="0"/>
        <v>7945.333333333333</v>
      </c>
      <c r="F28" s="35">
        <f t="shared" si="1"/>
        <v>0.66818041656154514</v>
      </c>
    </row>
    <row r="29" spans="1:6" ht="31.5" x14ac:dyDescent="0.25">
      <c r="A29" s="31" t="s">
        <v>39</v>
      </c>
      <c r="B29" s="6"/>
      <c r="C29" s="7" t="s">
        <v>83</v>
      </c>
      <c r="D29" s="25">
        <v>95344</v>
      </c>
      <c r="E29" s="27">
        <f t="shared" si="0"/>
        <v>7945.333333333333</v>
      </c>
      <c r="F29" s="35">
        <f t="shared" si="1"/>
        <v>0.66818041656154514</v>
      </c>
    </row>
    <row r="30" spans="1:6" ht="31.5" x14ac:dyDescent="0.25">
      <c r="A30" s="31" t="s">
        <v>143</v>
      </c>
      <c r="B30" s="6"/>
      <c r="C30" s="7" t="s">
        <v>84</v>
      </c>
      <c r="D30" s="25">
        <f>247877*0.6</f>
        <v>148726.19999999998</v>
      </c>
      <c r="E30" s="27">
        <f t="shared" si="0"/>
        <v>12393.849999999999</v>
      </c>
      <c r="F30" s="35">
        <f t="shared" si="1"/>
        <v>1.0422882852577577</v>
      </c>
    </row>
    <row r="31" spans="1:6" ht="16.5" x14ac:dyDescent="0.25">
      <c r="A31" s="31" t="s">
        <v>187</v>
      </c>
      <c r="B31" s="6"/>
      <c r="C31" s="7" t="s">
        <v>17</v>
      </c>
      <c r="D31" s="25">
        <f>D23*0.273+D24*0.273+D28*0.365161+D29*0.365161+D30*0.302</f>
        <v>118157.558168</v>
      </c>
      <c r="E31" s="27">
        <f t="shared" si="0"/>
        <v>9846.4631806666675</v>
      </c>
      <c r="F31" s="35">
        <f t="shared" si="1"/>
        <v>0.82806014470327705</v>
      </c>
    </row>
    <row r="32" spans="1:6" ht="31.5" x14ac:dyDescent="0.25">
      <c r="A32" s="31" t="s">
        <v>188</v>
      </c>
      <c r="B32" s="6"/>
      <c r="C32" s="7" t="s">
        <v>137</v>
      </c>
      <c r="D32" s="25">
        <v>3742</v>
      </c>
      <c r="E32" s="27">
        <f t="shared" si="0"/>
        <v>311.83333333333331</v>
      </c>
      <c r="F32" s="35">
        <f t="shared" si="1"/>
        <v>2.6224315308496622E-2</v>
      </c>
    </row>
    <row r="33" spans="1:6" ht="33" customHeight="1" x14ac:dyDescent="0.25">
      <c r="A33" s="20">
        <v>4</v>
      </c>
      <c r="B33" s="75" t="s">
        <v>18</v>
      </c>
      <c r="C33" s="75"/>
      <c r="D33" s="24">
        <f>SUM(D34:D38)</f>
        <v>589299.24159999995</v>
      </c>
      <c r="E33" s="27">
        <f t="shared" si="0"/>
        <v>49108.270133333332</v>
      </c>
      <c r="F33" s="35">
        <f t="shared" si="1"/>
        <v>4.1298688195554059</v>
      </c>
    </row>
    <row r="34" spans="1:6" ht="16.5" x14ac:dyDescent="0.25">
      <c r="A34" s="31" t="s">
        <v>40</v>
      </c>
      <c r="B34" s="6"/>
      <c r="C34" s="7" t="s">
        <v>1</v>
      </c>
      <c r="D34" s="25">
        <f>69075+53289+65495+27580</f>
        <v>215439</v>
      </c>
      <c r="E34" s="27">
        <f t="shared" si="0"/>
        <v>17953.25</v>
      </c>
      <c r="F34" s="35">
        <f t="shared" si="1"/>
        <v>1.5098183500126146</v>
      </c>
    </row>
    <row r="35" spans="1:6" ht="99" x14ac:dyDescent="0.25">
      <c r="A35" s="31" t="s">
        <v>111</v>
      </c>
      <c r="B35" s="6"/>
      <c r="C35" s="7" t="s">
        <v>135</v>
      </c>
      <c r="D35" s="25">
        <f>85110+24740+43700+5750</f>
        <v>159300</v>
      </c>
      <c r="E35" s="27">
        <f t="shared" si="0"/>
        <v>13275</v>
      </c>
      <c r="F35" s="35">
        <f t="shared" si="1"/>
        <v>1.1163905474728786</v>
      </c>
    </row>
    <row r="36" spans="1:6" ht="16.5" x14ac:dyDescent="0.25">
      <c r="A36" s="31" t="s">
        <v>112</v>
      </c>
      <c r="B36" s="6"/>
      <c r="C36" s="7" t="s">
        <v>116</v>
      </c>
      <c r="D36" s="25">
        <v>41977</v>
      </c>
      <c r="E36" s="27">
        <f t="shared" si="0"/>
        <v>3498.0833333333335</v>
      </c>
      <c r="F36" s="35">
        <f t="shared" si="1"/>
        <v>0.29417907100608304</v>
      </c>
    </row>
    <row r="37" spans="1:6" ht="30.75" customHeight="1" x14ac:dyDescent="0.25">
      <c r="A37" s="31" t="s">
        <v>41</v>
      </c>
      <c r="B37" s="6"/>
      <c r="C37" s="7" t="s">
        <v>85</v>
      </c>
      <c r="D37" s="25">
        <f>247877*0.4</f>
        <v>99150.8</v>
      </c>
      <c r="E37" s="27">
        <f>D37/12</f>
        <v>8262.5666666666675</v>
      </c>
      <c r="F37" s="35">
        <f t="shared" si="1"/>
        <v>0.69485885683850535</v>
      </c>
    </row>
    <row r="38" spans="1:6" ht="16.5" x14ac:dyDescent="0.25">
      <c r="A38" s="31" t="s">
        <v>42</v>
      </c>
      <c r="B38" s="6"/>
      <c r="C38" s="7" t="s">
        <v>17</v>
      </c>
      <c r="D38" s="25">
        <f>D35*0.273+D37*0.302</f>
        <v>73432.441600000006</v>
      </c>
      <c r="E38" s="27">
        <f t="shared" si="0"/>
        <v>6119.3701333333338</v>
      </c>
      <c r="F38" s="35">
        <f t="shared" si="1"/>
        <v>0.51462199422532451</v>
      </c>
    </row>
    <row r="39" spans="1:6" ht="33" customHeight="1" x14ac:dyDescent="0.25">
      <c r="A39" s="20">
        <v>5</v>
      </c>
      <c r="B39" s="75" t="s">
        <v>43</v>
      </c>
      <c r="C39" s="75"/>
      <c r="D39" s="24">
        <f>SUM(D40:D49)</f>
        <v>672667.21972719999</v>
      </c>
      <c r="E39" s="27">
        <f t="shared" si="0"/>
        <v>56055.601643933333</v>
      </c>
      <c r="F39" s="35">
        <f t="shared" si="1"/>
        <v>4.7141200608807781</v>
      </c>
    </row>
    <row r="40" spans="1:6" ht="31.5" x14ac:dyDescent="0.25">
      <c r="A40" s="31" t="s">
        <v>44</v>
      </c>
      <c r="B40" s="6"/>
      <c r="C40" s="7" t="s">
        <v>86</v>
      </c>
      <c r="D40" s="25">
        <f>(420688-15069)*0.8</f>
        <v>324495.2</v>
      </c>
      <c r="E40" s="27">
        <f t="shared" si="0"/>
        <v>27041.266666666666</v>
      </c>
      <c r="F40" s="35">
        <f t="shared" si="1"/>
        <v>2.2740952541137553</v>
      </c>
    </row>
    <row r="41" spans="1:6" ht="31.5" x14ac:dyDescent="0.25">
      <c r="A41" s="31" t="s">
        <v>45</v>
      </c>
      <c r="B41" s="6"/>
      <c r="C41" s="7" t="s">
        <v>87</v>
      </c>
      <c r="D41" s="25">
        <f>137914</f>
        <v>137914</v>
      </c>
      <c r="E41" s="27">
        <f t="shared" si="0"/>
        <v>11492.833333333334</v>
      </c>
      <c r="F41" s="35">
        <f t="shared" si="1"/>
        <v>0.96651529167717887</v>
      </c>
    </row>
    <row r="42" spans="1:6" ht="16.5" x14ac:dyDescent="0.25">
      <c r="A42" s="31" t="s">
        <v>46</v>
      </c>
      <c r="B42" s="6"/>
      <c r="C42" s="7" t="s">
        <v>17</v>
      </c>
      <c r="D42" s="25">
        <f>D40*0.365161+D41*0.302</f>
        <v>160143.01972720001</v>
      </c>
      <c r="E42" s="27">
        <f t="shared" si="0"/>
        <v>13345.251643933334</v>
      </c>
      <c r="F42" s="35">
        <f t="shared" si="1"/>
        <v>1.1222985151739411</v>
      </c>
    </row>
    <row r="43" spans="1:6" ht="16.5" x14ac:dyDescent="0.25">
      <c r="A43" s="31" t="s">
        <v>47</v>
      </c>
      <c r="B43" s="6"/>
      <c r="C43" s="7" t="s">
        <v>68</v>
      </c>
      <c r="D43" s="25">
        <v>7551</v>
      </c>
      <c r="E43" s="27">
        <f t="shared" si="0"/>
        <v>629.25</v>
      </c>
      <c r="F43" s="35">
        <f t="shared" si="1"/>
        <v>5.2918173408460181E-2</v>
      </c>
    </row>
    <row r="44" spans="1:6" ht="16.5" x14ac:dyDescent="0.25">
      <c r="A44" s="31" t="s">
        <v>48</v>
      </c>
      <c r="B44" s="6"/>
      <c r="C44" s="7" t="s">
        <v>189</v>
      </c>
      <c r="D44" s="25">
        <v>3207</v>
      </c>
      <c r="E44" s="27">
        <f t="shared" ref="E44" si="6">D44/12</f>
        <v>267.25</v>
      </c>
      <c r="F44" s="35">
        <f t="shared" ref="F44" si="7">E44/11891</f>
        <v>2.2474981078126312E-2</v>
      </c>
    </row>
    <row r="45" spans="1:6" ht="16.5" x14ac:dyDescent="0.25">
      <c r="A45" s="31" t="s">
        <v>49</v>
      </c>
      <c r="B45" s="6"/>
      <c r="C45" s="7" t="s">
        <v>132</v>
      </c>
      <c r="D45" s="25">
        <v>25074</v>
      </c>
      <c r="E45" s="27">
        <f>D45/12</f>
        <v>2089.5</v>
      </c>
      <c r="F45" s="35">
        <f t="shared" si="1"/>
        <v>0.17572113363047684</v>
      </c>
    </row>
    <row r="46" spans="1:6" ht="16.5" x14ac:dyDescent="0.25">
      <c r="A46" s="31" t="s">
        <v>50</v>
      </c>
      <c r="B46" s="6"/>
      <c r="C46" s="7" t="s">
        <v>133</v>
      </c>
      <c r="D46" s="25">
        <v>795</v>
      </c>
      <c r="E46" s="27">
        <f>D46/12</f>
        <v>66.25</v>
      </c>
      <c r="F46" s="35">
        <f t="shared" si="1"/>
        <v>5.5714405853166263E-3</v>
      </c>
    </row>
    <row r="47" spans="1:6" ht="16.5" x14ac:dyDescent="0.25">
      <c r="A47" s="31" t="s">
        <v>100</v>
      </c>
      <c r="B47" s="6"/>
      <c r="C47" s="7" t="s">
        <v>107</v>
      </c>
      <c r="D47" s="25">
        <v>3208</v>
      </c>
      <c r="E47" s="27">
        <f>D47/12</f>
        <v>267.33333333333331</v>
      </c>
      <c r="F47" s="35">
        <f t="shared" si="1"/>
        <v>2.2481989179491492E-2</v>
      </c>
    </row>
    <row r="48" spans="1:6" ht="31.5" x14ac:dyDescent="0.25">
      <c r="A48" s="31" t="s">
        <v>108</v>
      </c>
      <c r="B48" s="6"/>
      <c r="C48" s="7" t="s">
        <v>138</v>
      </c>
      <c r="D48" s="25">
        <v>7880</v>
      </c>
      <c r="E48" s="27">
        <f>D48/12</f>
        <v>656.66666666666663</v>
      </c>
      <c r="F48" s="35">
        <f t="shared" si="1"/>
        <v>5.522383875760379E-2</v>
      </c>
    </row>
    <row r="49" spans="1:6" ht="16.5" x14ac:dyDescent="0.25">
      <c r="A49" s="31" t="s">
        <v>109</v>
      </c>
      <c r="B49" s="6"/>
      <c r="C49" s="7" t="s">
        <v>117</v>
      </c>
      <c r="D49" s="25">
        <v>2400</v>
      </c>
      <c r="E49" s="27">
        <f t="shared" si="0"/>
        <v>200</v>
      </c>
      <c r="F49" s="35">
        <f t="shared" si="1"/>
        <v>1.6819443276427551E-2</v>
      </c>
    </row>
    <row r="50" spans="1:6" ht="34.5" customHeight="1" x14ac:dyDescent="0.25">
      <c r="A50" s="20">
        <v>6</v>
      </c>
      <c r="B50" s="75" t="s">
        <v>55</v>
      </c>
      <c r="C50" s="75"/>
      <c r="D50" s="24">
        <f>SUM(D51:D56)</f>
        <v>240991.27695179998</v>
      </c>
      <c r="E50" s="27">
        <f t="shared" si="0"/>
        <v>20082.606412649999</v>
      </c>
      <c r="F50" s="35">
        <f t="shared" si="1"/>
        <v>1.6888912970019341</v>
      </c>
    </row>
    <row r="51" spans="1:6" ht="16.5" x14ac:dyDescent="0.25">
      <c r="A51" s="31" t="s">
        <v>51</v>
      </c>
      <c r="B51" s="6"/>
      <c r="C51" s="7" t="s">
        <v>88</v>
      </c>
      <c r="D51" s="25">
        <f>(420688-15069)*0.2</f>
        <v>81123.8</v>
      </c>
      <c r="E51" s="27">
        <f t="shared" si="0"/>
        <v>6760.3166666666666</v>
      </c>
      <c r="F51" s="35">
        <f t="shared" si="1"/>
        <v>0.56852381352843884</v>
      </c>
    </row>
    <row r="52" spans="1:6" ht="31.5" x14ac:dyDescent="0.25">
      <c r="A52" s="31" t="s">
        <v>52</v>
      </c>
      <c r="B52" s="6"/>
      <c r="C52" s="7" t="s">
        <v>190</v>
      </c>
      <c r="D52" s="25">
        <v>77820</v>
      </c>
      <c r="E52" s="27">
        <f>D52/12</f>
        <v>6485</v>
      </c>
      <c r="F52" s="35">
        <f t="shared" si="1"/>
        <v>0.54537044823816327</v>
      </c>
    </row>
    <row r="53" spans="1:6" ht="16.5" x14ac:dyDescent="0.25">
      <c r="A53" s="31" t="s">
        <v>53</v>
      </c>
      <c r="B53" s="6"/>
      <c r="C53" s="7" t="s">
        <v>191</v>
      </c>
      <c r="D53" s="25">
        <v>11450</v>
      </c>
      <c r="E53" s="27">
        <f>D53/12</f>
        <v>954.16666666666663</v>
      </c>
      <c r="F53" s="35">
        <f>E53/11891</f>
        <v>8.0242760631289767E-2</v>
      </c>
    </row>
    <row r="54" spans="1:6" ht="47.25" x14ac:dyDescent="0.25">
      <c r="A54" s="31" t="s">
        <v>54</v>
      </c>
      <c r="B54" s="6"/>
      <c r="C54" s="7" t="s">
        <v>134</v>
      </c>
      <c r="D54" s="25">
        <f>3200+3600</f>
        <v>6800</v>
      </c>
      <c r="E54" s="27">
        <f>D54/12</f>
        <v>566.66666666666663</v>
      </c>
      <c r="F54" s="35">
        <f t="shared" si="1"/>
        <v>4.765508928321139E-2</v>
      </c>
    </row>
    <row r="55" spans="1:6" ht="16.5" x14ac:dyDescent="0.25">
      <c r="A55" s="31" t="s">
        <v>106</v>
      </c>
      <c r="B55" s="6"/>
      <c r="C55" s="7" t="s">
        <v>110</v>
      </c>
      <c r="D55" s="25">
        <f>1101+2799</f>
        <v>3900</v>
      </c>
      <c r="E55" s="27">
        <f t="shared" ref="E55" si="8">D55/12</f>
        <v>325</v>
      </c>
      <c r="F55" s="35">
        <f>E55/11891</f>
        <v>2.7331595324194768E-2</v>
      </c>
    </row>
    <row r="56" spans="1:6" ht="16.5" x14ac:dyDescent="0.25">
      <c r="A56" s="31" t="s">
        <v>113</v>
      </c>
      <c r="B56" s="6"/>
      <c r="C56" s="7" t="s">
        <v>17</v>
      </c>
      <c r="D56" s="25">
        <f>D51*0.365161+D52*0.365161+D54*0.273+1</f>
        <v>59897.476951800003</v>
      </c>
      <c r="E56" s="27">
        <f t="shared" si="0"/>
        <v>4991.4564126499999</v>
      </c>
      <c r="F56" s="35">
        <f t="shared" si="1"/>
        <v>0.4197675899966361</v>
      </c>
    </row>
    <row r="57" spans="1:6" ht="16.5" x14ac:dyDescent="0.25">
      <c r="A57" s="20">
        <v>7</v>
      </c>
      <c r="B57" s="75" t="s">
        <v>104</v>
      </c>
      <c r="C57" s="75"/>
      <c r="D57" s="24">
        <f>D58+D59</f>
        <v>523417</v>
      </c>
      <c r="E57" s="27">
        <f t="shared" si="0"/>
        <v>43618.083333333336</v>
      </c>
      <c r="F57" s="35">
        <f t="shared" si="1"/>
        <v>3.6681593922574498</v>
      </c>
    </row>
    <row r="58" spans="1:6" ht="31.5" x14ac:dyDescent="0.25">
      <c r="A58" s="31" t="s">
        <v>56</v>
      </c>
      <c r="B58" s="6"/>
      <c r="C58" s="7" t="s">
        <v>99</v>
      </c>
      <c r="D58" s="25">
        <v>517440</v>
      </c>
      <c r="E58" s="27">
        <f t="shared" ref="E58" si="9">D58/12</f>
        <v>43120</v>
      </c>
      <c r="F58" s="35">
        <f t="shared" si="1"/>
        <v>3.6262719703977799</v>
      </c>
    </row>
    <row r="59" spans="1:6" ht="16.5" x14ac:dyDescent="0.25">
      <c r="A59" s="31" t="s">
        <v>101</v>
      </c>
      <c r="B59" s="6"/>
      <c r="C59" s="7" t="s">
        <v>114</v>
      </c>
      <c r="D59" s="25">
        <f>5600+377</f>
        <v>5977</v>
      </c>
      <c r="E59" s="27">
        <f t="shared" ref="E59" si="10">D59/12</f>
        <v>498.08333333333331</v>
      </c>
      <c r="F59" s="35">
        <f t="shared" si="1"/>
        <v>4.1887421859669774E-2</v>
      </c>
    </row>
    <row r="60" spans="1:6" ht="16.5" x14ac:dyDescent="0.25">
      <c r="A60" s="20">
        <v>8</v>
      </c>
      <c r="B60" s="75" t="s">
        <v>57</v>
      </c>
      <c r="C60" s="75"/>
      <c r="D60" s="24">
        <v>12993</v>
      </c>
      <c r="E60" s="27">
        <f t="shared" si="0"/>
        <v>1082.75</v>
      </c>
      <c r="F60" s="35">
        <f t="shared" si="1"/>
        <v>9.1056261037759656E-2</v>
      </c>
    </row>
    <row r="61" spans="1:6" ht="16.5" x14ac:dyDescent="0.25">
      <c r="A61" s="20">
        <v>9</v>
      </c>
      <c r="B61" s="76" t="s">
        <v>158</v>
      </c>
      <c r="C61" s="77"/>
      <c r="D61" s="24">
        <f>SUM(D62:D63)</f>
        <v>640736</v>
      </c>
      <c r="E61" s="27">
        <f t="shared" ref="E61:E62" si="11">D61/12</f>
        <v>53394.666666666664</v>
      </c>
      <c r="F61" s="35">
        <f t="shared" ref="F61:F62" si="12">E61/11891</f>
        <v>4.4903428363187841</v>
      </c>
    </row>
    <row r="62" spans="1:6" ht="31.5" x14ac:dyDescent="0.25">
      <c r="A62" s="63" t="s">
        <v>159</v>
      </c>
      <c r="B62" s="62"/>
      <c r="C62" s="7" t="s">
        <v>175</v>
      </c>
      <c r="D62" s="25">
        <v>272059</v>
      </c>
      <c r="E62" s="65">
        <f t="shared" si="11"/>
        <v>22671.583333333332</v>
      </c>
      <c r="F62" s="35">
        <f t="shared" si="12"/>
        <v>1.9066170493090011</v>
      </c>
    </row>
    <row r="63" spans="1:6" ht="31.5" x14ac:dyDescent="0.25">
      <c r="A63" s="64" t="s">
        <v>160</v>
      </c>
      <c r="B63" s="62"/>
      <c r="C63" s="7" t="s">
        <v>176</v>
      </c>
      <c r="D63" s="25">
        <v>368677</v>
      </c>
      <c r="E63" s="65">
        <f t="shared" ref="E63" si="13">D63/12</f>
        <v>30723.083333333332</v>
      </c>
      <c r="F63" s="35">
        <f t="shared" ref="F63" si="14">E63/11891</f>
        <v>2.5837257870097834</v>
      </c>
    </row>
    <row r="64" spans="1:6" ht="33" customHeight="1" x14ac:dyDescent="0.25">
      <c r="A64" s="20">
        <v>9</v>
      </c>
      <c r="B64" s="75" t="s">
        <v>13</v>
      </c>
      <c r="C64" s="75"/>
      <c r="D64" s="24">
        <f>('оплачено ПУ'!C30-'оплачено ПУ'!C36)*0.01</f>
        <v>96790.695399999997</v>
      </c>
      <c r="E64" s="27">
        <f t="shared" ref="E64:E74" si="15">D64/12</f>
        <v>8065.8912833333334</v>
      </c>
      <c r="F64" s="35">
        <f t="shared" si="1"/>
        <v>0.67831900456928207</v>
      </c>
    </row>
    <row r="65" spans="1:6" ht="33" customHeight="1" x14ac:dyDescent="0.25">
      <c r="A65" s="20">
        <v>10</v>
      </c>
      <c r="B65" s="76" t="s">
        <v>193</v>
      </c>
      <c r="C65" s="77"/>
      <c r="D65" s="24">
        <f>D5+D8+D12+D33+D39+D50+D57+D60+D64+D61</f>
        <v>5468534.1918469993</v>
      </c>
      <c r="E65" s="27">
        <f t="shared" si="15"/>
        <v>455711.18265391659</v>
      </c>
      <c r="F65" s="35">
        <f t="shared" si="1"/>
        <v>38.324041935406321</v>
      </c>
    </row>
    <row r="66" spans="1:6" ht="51" customHeight="1" thickBot="1" x14ac:dyDescent="0.3">
      <c r="A66" s="37">
        <v>11</v>
      </c>
      <c r="B66" s="79" t="s">
        <v>194</v>
      </c>
      <c r="C66" s="79"/>
      <c r="D66" s="38">
        <f>'оплачено ПУ'!C36</f>
        <v>1236596.3700000001</v>
      </c>
      <c r="E66" s="27">
        <f t="shared" si="15"/>
        <v>103049.69750000001</v>
      </c>
      <c r="F66" s="35">
        <f t="shared" si="1"/>
        <v>8.6661927087713408</v>
      </c>
    </row>
    <row r="67" spans="1:6" ht="30" customHeight="1" thickBot="1" x14ac:dyDescent="0.3">
      <c r="A67" s="41">
        <v>12</v>
      </c>
      <c r="B67" s="80" t="s">
        <v>192</v>
      </c>
      <c r="C67" s="81"/>
      <c r="D67" s="68">
        <f>D65+D66</f>
        <v>6705130.5618469995</v>
      </c>
      <c r="E67" s="36">
        <f t="shared" si="15"/>
        <v>558760.88015391666</v>
      </c>
      <c r="F67" s="35">
        <f t="shared" si="1"/>
        <v>46.990234644177669</v>
      </c>
    </row>
    <row r="68" spans="1:6" s="3" customFormat="1" ht="50.25" customHeight="1" x14ac:dyDescent="0.3">
      <c r="A68" s="39">
        <v>13</v>
      </c>
      <c r="B68" s="82" t="s">
        <v>196</v>
      </c>
      <c r="C68" s="82"/>
      <c r="D68" s="40">
        <f>SUM(D69:D73)</f>
        <v>3893872</v>
      </c>
      <c r="E68" s="27">
        <f t="shared" si="15"/>
        <v>324489.33333333331</v>
      </c>
      <c r="F68" s="35">
        <f t="shared" si="1"/>
        <v>27.288649679028957</v>
      </c>
    </row>
    <row r="69" spans="1:6" ht="30" customHeight="1" x14ac:dyDescent="0.25">
      <c r="A69" s="31" t="s">
        <v>147</v>
      </c>
      <c r="B69" s="29"/>
      <c r="C69" s="30" t="s">
        <v>195</v>
      </c>
      <c r="D69" s="25">
        <f>2047929-D62-141858-6508</f>
        <v>1627504</v>
      </c>
      <c r="E69" s="27">
        <f t="shared" si="15"/>
        <v>135625.33333333334</v>
      </c>
      <c r="F69" s="35">
        <f t="shared" si="1"/>
        <v>11.405713004232894</v>
      </c>
    </row>
    <row r="70" spans="1:6" ht="16.5" customHeight="1" x14ac:dyDescent="0.25">
      <c r="A70" s="31" t="s">
        <v>148</v>
      </c>
      <c r="B70" s="29"/>
      <c r="C70" s="30" t="s">
        <v>89</v>
      </c>
      <c r="D70" s="25">
        <f>414119-98953</f>
        <v>315166</v>
      </c>
      <c r="E70" s="27">
        <f t="shared" ref="E70:E73" si="16">D70/12</f>
        <v>26263.833333333332</v>
      </c>
      <c r="F70" s="35">
        <f t="shared" ref="F70:F74" si="17">E70/11891</f>
        <v>2.2087152748577354</v>
      </c>
    </row>
    <row r="71" spans="1:6" ht="16.5" customHeight="1" x14ac:dyDescent="0.25">
      <c r="A71" s="31" t="s">
        <v>149</v>
      </c>
      <c r="B71" s="29"/>
      <c r="C71" s="30" t="s">
        <v>90</v>
      </c>
      <c r="D71" s="25">
        <f>349038-85447-1</f>
        <v>263590</v>
      </c>
      <c r="E71" s="27">
        <f t="shared" si="16"/>
        <v>21965.833333333332</v>
      </c>
      <c r="F71" s="35">
        <f t="shared" si="17"/>
        <v>1.8472654388473073</v>
      </c>
    </row>
    <row r="72" spans="1:6" ht="16.5" customHeight="1" x14ac:dyDescent="0.25">
      <c r="A72" s="31" t="s">
        <v>150</v>
      </c>
      <c r="B72" s="29"/>
      <c r="C72" s="30" t="s">
        <v>161</v>
      </c>
      <c r="D72" s="25">
        <f>1598819-98213-66770-D63-1</f>
        <v>1065158</v>
      </c>
      <c r="E72" s="27">
        <f t="shared" si="16"/>
        <v>88763.166666666672</v>
      </c>
      <c r="F72" s="35">
        <f t="shared" si="17"/>
        <v>7.4647352339304236</v>
      </c>
    </row>
    <row r="73" spans="1:6" ht="16.5" customHeight="1" x14ac:dyDescent="0.25">
      <c r="A73" s="31" t="s">
        <v>151</v>
      </c>
      <c r="B73" s="29"/>
      <c r="C73" s="30" t="s">
        <v>4</v>
      </c>
      <c r="D73" s="25">
        <f>864156-241702</f>
        <v>622454</v>
      </c>
      <c r="E73" s="27">
        <f t="shared" si="16"/>
        <v>51871.166666666664</v>
      </c>
      <c r="F73" s="35">
        <f t="shared" si="17"/>
        <v>4.3622207271605973</v>
      </c>
    </row>
    <row r="74" spans="1:6" s="3" customFormat="1" ht="24" customHeight="1" x14ac:dyDescent="0.3">
      <c r="A74" s="21">
        <v>14</v>
      </c>
      <c r="B74" s="83" t="s">
        <v>58</v>
      </c>
      <c r="C74" s="84"/>
      <c r="D74" s="26">
        <f>D67+D68</f>
        <v>10599002.561846999</v>
      </c>
      <c r="E74" s="27">
        <f t="shared" si="15"/>
        <v>883250.21348724992</v>
      </c>
      <c r="F74" s="35">
        <f t="shared" si="17"/>
        <v>74.278884323206626</v>
      </c>
    </row>
    <row r="75" spans="1:6" x14ac:dyDescent="0.25">
      <c r="A75" s="1" t="s">
        <v>205</v>
      </c>
    </row>
    <row r="76" spans="1:6" ht="16.5" x14ac:dyDescent="0.25">
      <c r="A76" s="21">
        <v>15</v>
      </c>
      <c r="B76" s="78" t="s">
        <v>197</v>
      </c>
      <c r="C76" s="78"/>
      <c r="D76" s="26">
        <f>SUM(D77:D81)</f>
        <v>4682974</v>
      </c>
      <c r="E76" s="27">
        <f t="shared" ref="E76:E81" si="18">D76/12</f>
        <v>390247.83333333331</v>
      </c>
      <c r="F76" s="35">
        <f t="shared" ref="F76:F81" si="19">E76/11891</f>
        <v>32.818756482493761</v>
      </c>
    </row>
    <row r="77" spans="1:6" ht="16.5" x14ac:dyDescent="0.25">
      <c r="A77" s="31" t="s">
        <v>200</v>
      </c>
      <c r="B77" s="29"/>
      <c r="C77" s="30" t="s">
        <v>198</v>
      </c>
      <c r="D77" s="25">
        <f>2047929</f>
        <v>2047929</v>
      </c>
      <c r="E77" s="27">
        <f t="shared" si="18"/>
        <v>170660.75</v>
      </c>
      <c r="F77" s="35">
        <f t="shared" si="19"/>
        <v>14.352094020687915</v>
      </c>
    </row>
    <row r="78" spans="1:6" ht="16.5" x14ac:dyDescent="0.25">
      <c r="A78" s="31" t="s">
        <v>201</v>
      </c>
      <c r="B78" s="29"/>
      <c r="C78" s="30" t="s">
        <v>89</v>
      </c>
      <c r="D78" s="25">
        <f>414119-98953</f>
        <v>315166</v>
      </c>
      <c r="E78" s="27">
        <f t="shared" si="18"/>
        <v>26263.833333333332</v>
      </c>
      <c r="F78" s="35">
        <f t="shared" si="19"/>
        <v>2.2087152748577354</v>
      </c>
    </row>
    <row r="79" spans="1:6" ht="16.5" x14ac:dyDescent="0.25">
      <c r="A79" s="31" t="s">
        <v>202</v>
      </c>
      <c r="B79" s="29"/>
      <c r="C79" s="30" t="s">
        <v>90</v>
      </c>
      <c r="D79" s="25">
        <f>349038-85447-1</f>
        <v>263590</v>
      </c>
      <c r="E79" s="27">
        <f t="shared" si="18"/>
        <v>21965.833333333332</v>
      </c>
      <c r="F79" s="35">
        <f t="shared" si="19"/>
        <v>1.8472654388473073</v>
      </c>
    </row>
    <row r="80" spans="1:6" ht="16.5" x14ac:dyDescent="0.25">
      <c r="A80" s="31" t="s">
        <v>203</v>
      </c>
      <c r="B80" s="29"/>
      <c r="C80" s="30" t="s">
        <v>199</v>
      </c>
      <c r="D80" s="25">
        <f>1598819-98213-66770-1</f>
        <v>1433835</v>
      </c>
      <c r="E80" s="27">
        <f t="shared" si="18"/>
        <v>119486.25</v>
      </c>
      <c r="F80" s="35">
        <f t="shared" si="19"/>
        <v>10.048461020940207</v>
      </c>
    </row>
    <row r="81" spans="1:6" ht="16.5" x14ac:dyDescent="0.25">
      <c r="A81" s="31" t="s">
        <v>204</v>
      </c>
      <c r="B81" s="29"/>
      <c r="C81" s="30" t="s">
        <v>4</v>
      </c>
      <c r="D81" s="25">
        <f>864156-241702</f>
        <v>622454</v>
      </c>
      <c r="E81" s="27">
        <f t="shared" si="18"/>
        <v>51871.166666666664</v>
      </c>
      <c r="F81" s="35">
        <f t="shared" si="19"/>
        <v>4.3622207271605973</v>
      </c>
    </row>
  </sheetData>
  <mergeCells count="20">
    <mergeCell ref="B76:C76"/>
    <mergeCell ref="B66:C66"/>
    <mergeCell ref="B65:C65"/>
    <mergeCell ref="B67:C67"/>
    <mergeCell ref="B68:C68"/>
    <mergeCell ref="B74:C74"/>
    <mergeCell ref="A3:F3"/>
    <mergeCell ref="A2:F2"/>
    <mergeCell ref="A1:F1"/>
    <mergeCell ref="B4:C4"/>
    <mergeCell ref="B64:C64"/>
    <mergeCell ref="B60:C60"/>
    <mergeCell ref="B50:C50"/>
    <mergeCell ref="B57:C57"/>
    <mergeCell ref="B33:C33"/>
    <mergeCell ref="B5:C5"/>
    <mergeCell ref="B8:C8"/>
    <mergeCell ref="B12:C12"/>
    <mergeCell ref="B39:C39"/>
    <mergeCell ref="B61:C61"/>
  </mergeCells>
  <pageMargins left="0.39370078740157483" right="0.39370078740157483" top="0.39370078740157483" bottom="0.39370078740157483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38" sqref="B38"/>
    </sheetView>
  </sheetViews>
  <sheetFormatPr defaultRowHeight="15.75" x14ac:dyDescent="0.25"/>
  <cols>
    <col min="1" max="1" width="6.7109375" style="8" customWidth="1"/>
    <col min="2" max="2" width="50.7109375" style="9" customWidth="1"/>
    <col min="3" max="3" width="20.7109375" style="18" customWidth="1"/>
    <col min="4" max="4" width="12.7109375" style="42" customWidth="1"/>
    <col min="5" max="5" width="9.85546875" style="8" bestFit="1" customWidth="1"/>
    <col min="6" max="16384" width="9.140625" style="8"/>
  </cols>
  <sheetData>
    <row r="1" spans="1:4" ht="15.75" customHeight="1" x14ac:dyDescent="0.3">
      <c r="A1" s="85" t="s">
        <v>124</v>
      </c>
      <c r="B1" s="85"/>
      <c r="C1" s="85"/>
      <c r="D1" s="85"/>
    </row>
    <row r="2" spans="1:4" ht="15.75" customHeight="1" x14ac:dyDescent="0.3">
      <c r="A2" s="86" t="s">
        <v>0</v>
      </c>
      <c r="B2" s="86"/>
      <c r="C2" s="86"/>
      <c r="D2" s="86"/>
    </row>
    <row r="3" spans="1:4" ht="15.75" customHeight="1" x14ac:dyDescent="0.3">
      <c r="A3" s="87" t="s">
        <v>72</v>
      </c>
      <c r="B3" s="87"/>
      <c r="C3" s="87"/>
      <c r="D3" s="87"/>
    </row>
    <row r="4" spans="1:4" s="14" customFormat="1" ht="47.25" x14ac:dyDescent="0.25">
      <c r="A4" s="13" t="s">
        <v>10</v>
      </c>
      <c r="B4" s="13" t="s">
        <v>9</v>
      </c>
      <c r="C4" s="43" t="s">
        <v>127</v>
      </c>
      <c r="D4" s="49" t="s">
        <v>70</v>
      </c>
    </row>
    <row r="5" spans="1:4" s="16" customFormat="1" ht="33" customHeight="1" x14ac:dyDescent="0.3">
      <c r="A5" s="15">
        <v>1</v>
      </c>
      <c r="B5" s="12" t="s">
        <v>123</v>
      </c>
      <c r="C5" s="44">
        <f>SUM(C6:C14)</f>
        <v>4082666.06</v>
      </c>
      <c r="D5" s="50">
        <f>C5/12/11891</f>
        <v>28.611737588652485</v>
      </c>
    </row>
    <row r="6" spans="1:4" ht="16.5" customHeight="1" x14ac:dyDescent="0.25">
      <c r="A6" s="32" t="s">
        <v>19</v>
      </c>
      <c r="B6" s="10" t="s">
        <v>91</v>
      </c>
      <c r="C6" s="45">
        <f>2966.94+1156561.51+249150.44</f>
        <v>1408678.89</v>
      </c>
      <c r="D6" s="50">
        <f t="shared" ref="D6:D30" si="0">C6/12/11891</f>
        <v>9.8721644521066345</v>
      </c>
    </row>
    <row r="7" spans="1:4" ht="16.5" customHeight="1" x14ac:dyDescent="0.25">
      <c r="A7" s="32" t="s">
        <v>20</v>
      </c>
      <c r="B7" s="10" t="s">
        <v>164</v>
      </c>
      <c r="C7" s="45">
        <f>181683.66+399.7+35769.42+84.45</f>
        <v>217937.23000000004</v>
      </c>
      <c r="D7" s="50">
        <f t="shared" si="0"/>
        <v>1.5273261990861438</v>
      </c>
    </row>
    <row r="8" spans="1:4" ht="32.25" customHeight="1" x14ac:dyDescent="0.25">
      <c r="A8" s="32" t="s">
        <v>60</v>
      </c>
      <c r="B8" s="10" t="s">
        <v>102</v>
      </c>
      <c r="C8" s="45">
        <f>259148.04-1091.79+113912.84-716.15</f>
        <v>371252.93999999994</v>
      </c>
      <c r="D8" s="50">
        <f t="shared" si="0"/>
        <v>2.6017782356404</v>
      </c>
    </row>
    <row r="9" spans="1:4" ht="16.5" customHeight="1" x14ac:dyDescent="0.25">
      <c r="A9" s="32" t="s">
        <v>61</v>
      </c>
      <c r="B9" s="10" t="s">
        <v>163</v>
      </c>
      <c r="C9" s="45">
        <f>18806.02+34.13</f>
        <v>18840.150000000001</v>
      </c>
      <c r="D9" s="50">
        <f t="shared" si="0"/>
        <v>0.13203368093516105</v>
      </c>
    </row>
    <row r="10" spans="1:4" ht="30" customHeight="1" x14ac:dyDescent="0.25">
      <c r="A10" s="32" t="s">
        <v>62</v>
      </c>
      <c r="B10" s="10" t="s">
        <v>103</v>
      </c>
      <c r="C10" s="45">
        <f>952306-6079.6</f>
        <v>946226.4</v>
      </c>
      <c r="D10" s="50">
        <f t="shared" si="0"/>
        <v>6.6312505256076024</v>
      </c>
    </row>
    <row r="11" spans="1:4" ht="16.5" customHeight="1" x14ac:dyDescent="0.25">
      <c r="A11" s="32" t="s">
        <v>63</v>
      </c>
      <c r="B11" s="10" t="s">
        <v>162</v>
      </c>
      <c r="C11" s="45">
        <f>93876.25+383.1</f>
        <v>94259.35</v>
      </c>
      <c r="D11" s="50">
        <f t="shared" si="0"/>
        <v>0.66057907941580474</v>
      </c>
    </row>
    <row r="12" spans="1:4" ht="16.5" customHeight="1" x14ac:dyDescent="0.25">
      <c r="A12" s="32" t="s">
        <v>64</v>
      </c>
      <c r="B12" s="10" t="s">
        <v>90</v>
      </c>
      <c r="C12" s="45">
        <f>313994.62-1621.77</f>
        <v>312372.84999999998</v>
      </c>
      <c r="D12" s="50">
        <f t="shared" si="0"/>
        <v>2.189140596529588</v>
      </c>
    </row>
    <row r="13" spans="1:4" ht="16.5" customHeight="1" x14ac:dyDescent="0.25">
      <c r="A13" s="32" t="s">
        <v>65</v>
      </c>
      <c r="B13" s="10" t="s">
        <v>145</v>
      </c>
      <c r="C13" s="45">
        <f>5509.59</f>
        <v>5509.59</v>
      </c>
      <c r="D13" s="50">
        <f t="shared" si="0"/>
        <v>3.8611765200571864E-2</v>
      </c>
    </row>
    <row r="14" spans="1:4" ht="16.5" customHeight="1" x14ac:dyDescent="0.25">
      <c r="A14" s="32" t="s">
        <v>165</v>
      </c>
      <c r="B14" s="10" t="s">
        <v>4</v>
      </c>
      <c r="C14" s="45">
        <f>707588.66</f>
        <v>707588.66</v>
      </c>
      <c r="D14" s="50">
        <f t="shared" si="0"/>
        <v>4.9588530541305751</v>
      </c>
    </row>
    <row r="15" spans="1:4" s="16" customFormat="1" ht="16.5" customHeight="1" x14ac:dyDescent="0.3">
      <c r="A15" s="15">
        <v>2</v>
      </c>
      <c r="B15" s="28" t="s">
        <v>166</v>
      </c>
      <c r="C15" s="17">
        <f>5453909.79+551</f>
        <v>5454460.79</v>
      </c>
      <c r="D15" s="50">
        <f t="shared" si="0"/>
        <v>38.225414108709671</v>
      </c>
    </row>
    <row r="16" spans="1:4" s="16" customFormat="1" ht="16.5" customHeight="1" x14ac:dyDescent="0.3">
      <c r="A16" s="15">
        <v>3</v>
      </c>
      <c r="B16" s="28" t="s">
        <v>183</v>
      </c>
      <c r="C16" s="17">
        <f>19800</f>
        <v>19800</v>
      </c>
      <c r="D16" s="50">
        <f t="shared" si="0"/>
        <v>0.13876040703052728</v>
      </c>
    </row>
    <row r="17" spans="1:4" s="16" customFormat="1" ht="16.5" customHeight="1" x14ac:dyDescent="0.3">
      <c r="A17" s="15">
        <v>4</v>
      </c>
      <c r="B17" s="28" t="s">
        <v>74</v>
      </c>
      <c r="C17" s="17">
        <f>C5+C15+C16</f>
        <v>9556926.8499999996</v>
      </c>
      <c r="D17" s="50">
        <f t="shared" si="0"/>
        <v>66.975912104392677</v>
      </c>
    </row>
    <row r="18" spans="1:4" s="16" customFormat="1" ht="16.5" customHeight="1" x14ac:dyDescent="0.3">
      <c r="A18" s="15">
        <v>5</v>
      </c>
      <c r="B18" s="28" t="s">
        <v>75</v>
      </c>
      <c r="C18" s="55">
        <v>70393.39</v>
      </c>
      <c r="D18" s="50">
        <f t="shared" si="0"/>
        <v>0.49332401255851765</v>
      </c>
    </row>
    <row r="19" spans="1:4" s="16" customFormat="1" ht="33" customHeight="1" x14ac:dyDescent="0.3">
      <c r="A19" s="15">
        <v>6</v>
      </c>
      <c r="B19" s="28" t="s">
        <v>118</v>
      </c>
      <c r="C19" s="17">
        <f>SUM(C17:C18)</f>
        <v>9627320.2400000002</v>
      </c>
      <c r="D19" s="50">
        <f t="shared" si="0"/>
        <v>67.469236116951194</v>
      </c>
    </row>
    <row r="20" spans="1:4" s="16" customFormat="1" ht="16.5" customHeight="1" x14ac:dyDescent="0.3">
      <c r="A20" s="15">
        <v>7</v>
      </c>
      <c r="B20" s="28" t="s">
        <v>93</v>
      </c>
      <c r="C20" s="17">
        <f>SUM(C21:C26)</f>
        <v>1140000</v>
      </c>
      <c r="D20" s="50">
        <f t="shared" si="0"/>
        <v>7.9892355563030861</v>
      </c>
    </row>
    <row r="21" spans="1:4" ht="16.5" customHeight="1" x14ac:dyDescent="0.25">
      <c r="A21" s="32" t="s">
        <v>56</v>
      </c>
      <c r="B21" s="51" t="s">
        <v>59</v>
      </c>
      <c r="C21" s="52">
        <v>300000</v>
      </c>
      <c r="D21" s="50">
        <f t="shared" si="0"/>
        <v>2.1024304095534436</v>
      </c>
    </row>
    <row r="22" spans="1:4" ht="16.5" customHeight="1" x14ac:dyDescent="0.25">
      <c r="A22" s="32" t="s">
        <v>167</v>
      </c>
      <c r="B22" s="10" t="s">
        <v>146</v>
      </c>
      <c r="C22" s="46">
        <v>240000</v>
      </c>
      <c r="D22" s="50">
        <f t="shared" si="0"/>
        <v>1.681944327642755</v>
      </c>
    </row>
    <row r="23" spans="1:4" ht="16.5" customHeight="1" x14ac:dyDescent="0.25">
      <c r="A23" s="32" t="s">
        <v>168</v>
      </c>
      <c r="B23" s="10" t="s">
        <v>6</v>
      </c>
      <c r="C23" s="46">
        <v>216000</v>
      </c>
      <c r="D23" s="50">
        <f t="shared" si="0"/>
        <v>1.5137498948784796</v>
      </c>
    </row>
    <row r="24" spans="1:4" ht="16.5" customHeight="1" x14ac:dyDescent="0.25">
      <c r="A24" s="32" t="s">
        <v>169</v>
      </c>
      <c r="B24" s="10" t="s">
        <v>12</v>
      </c>
      <c r="C24" s="46">
        <v>216000</v>
      </c>
      <c r="D24" s="50">
        <f t="shared" si="0"/>
        <v>1.5137498948784796</v>
      </c>
    </row>
    <row r="25" spans="1:4" ht="16.5" customHeight="1" x14ac:dyDescent="0.25">
      <c r="A25" s="32" t="s">
        <v>170</v>
      </c>
      <c r="B25" s="10" t="s">
        <v>105</v>
      </c>
      <c r="C25" s="46">
        <v>156000</v>
      </c>
      <c r="D25" s="50">
        <f t="shared" si="0"/>
        <v>1.0932638129677907</v>
      </c>
    </row>
    <row r="26" spans="1:4" ht="16.5" customHeight="1" x14ac:dyDescent="0.25">
      <c r="A26" s="32" t="s">
        <v>171</v>
      </c>
      <c r="B26" s="10" t="s">
        <v>5</v>
      </c>
      <c r="C26" s="46">
        <v>12000</v>
      </c>
      <c r="D26" s="50">
        <f t="shared" si="0"/>
        <v>8.4097216382137754E-2</v>
      </c>
    </row>
    <row r="27" spans="1:4" ht="15" customHeight="1" x14ac:dyDescent="0.25">
      <c r="A27" s="32" t="s">
        <v>172</v>
      </c>
      <c r="B27" s="51" t="s">
        <v>152</v>
      </c>
      <c r="C27" s="52">
        <v>141858</v>
      </c>
      <c r="D27" s="50">
        <f t="shared" si="0"/>
        <v>0.99415524346144146</v>
      </c>
    </row>
    <row r="28" spans="1:4" ht="30" customHeight="1" x14ac:dyDescent="0.3">
      <c r="A28" s="66" t="s">
        <v>173</v>
      </c>
      <c r="B28" s="28" t="s">
        <v>153</v>
      </c>
      <c r="C28" s="55">
        <f>C20-C27</f>
        <v>998142</v>
      </c>
      <c r="D28" s="50">
        <f t="shared" si="0"/>
        <v>6.9950803128416448</v>
      </c>
    </row>
    <row r="29" spans="1:4" ht="30" customHeight="1" x14ac:dyDescent="0.3">
      <c r="A29" s="66" t="s">
        <v>177</v>
      </c>
      <c r="B29" s="28" t="s">
        <v>184</v>
      </c>
      <c r="C29" s="67">
        <f>C15+C28</f>
        <v>6452602.79</v>
      </c>
      <c r="D29" s="50">
        <f t="shared" si="0"/>
        <v>45.220494421551315</v>
      </c>
    </row>
    <row r="30" spans="1:4" s="16" customFormat="1" ht="45" customHeight="1" thickBot="1" x14ac:dyDescent="0.35">
      <c r="A30" s="15">
        <v>9</v>
      </c>
      <c r="B30" s="28" t="s">
        <v>174</v>
      </c>
      <c r="C30" s="58">
        <f>C17+C28</f>
        <v>10555068.85</v>
      </c>
      <c r="D30" s="50">
        <f t="shared" si="0"/>
        <v>73.970992417234314</v>
      </c>
    </row>
    <row r="31" spans="1:4" ht="16.5" thickTop="1" x14ac:dyDescent="0.25"/>
  </sheetData>
  <mergeCells count="3">
    <mergeCell ref="A1:D1"/>
    <mergeCell ref="A2:D2"/>
    <mergeCell ref="A3:D3"/>
  </mergeCell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1" sqref="E1"/>
    </sheetView>
  </sheetViews>
  <sheetFormatPr defaultRowHeight="15.75" x14ac:dyDescent="0.25"/>
  <cols>
    <col min="1" max="1" width="6.7109375" style="8" customWidth="1"/>
    <col min="2" max="2" width="50.7109375" style="9" customWidth="1"/>
    <col min="3" max="3" width="20.7109375" style="18" customWidth="1"/>
    <col min="4" max="4" width="12.7109375" style="42" customWidth="1"/>
    <col min="5" max="5" width="9.85546875" style="8" bestFit="1" customWidth="1"/>
    <col min="6" max="16384" width="9.140625" style="8"/>
  </cols>
  <sheetData>
    <row r="1" spans="1:4" ht="15.75" customHeight="1" x14ac:dyDescent="0.3">
      <c r="A1" s="85" t="s">
        <v>125</v>
      </c>
      <c r="B1" s="85"/>
      <c r="C1" s="85"/>
      <c r="D1" s="85"/>
    </row>
    <row r="2" spans="1:4" ht="15.75" customHeight="1" x14ac:dyDescent="0.3">
      <c r="A2" s="86" t="s">
        <v>0</v>
      </c>
      <c r="B2" s="86"/>
      <c r="C2" s="86"/>
      <c r="D2" s="86"/>
    </row>
    <row r="3" spans="1:4" ht="15.75" customHeight="1" x14ac:dyDescent="0.3">
      <c r="A3" s="87" t="s">
        <v>73</v>
      </c>
      <c r="B3" s="87"/>
      <c r="C3" s="87"/>
      <c r="D3" s="87"/>
    </row>
    <row r="4" spans="1:4" s="14" customFormat="1" ht="47.25" x14ac:dyDescent="0.25">
      <c r="A4" s="13" t="s">
        <v>10</v>
      </c>
      <c r="B4" s="13" t="s">
        <v>9</v>
      </c>
      <c r="C4" s="43" t="s">
        <v>128</v>
      </c>
      <c r="D4" s="49" t="s">
        <v>70</v>
      </c>
    </row>
    <row r="5" spans="1:4" s="16" customFormat="1" ht="33" customHeight="1" x14ac:dyDescent="0.3">
      <c r="A5" s="15">
        <v>1</v>
      </c>
      <c r="B5" s="12" t="s">
        <v>121</v>
      </c>
      <c r="C5" s="44">
        <f>SUM(C6:C14)</f>
        <v>4329465.62</v>
      </c>
      <c r="D5" s="50">
        <f>C5/12/11891</f>
        <v>30.341333922013849</v>
      </c>
    </row>
    <row r="6" spans="1:4" ht="16.5" customHeight="1" x14ac:dyDescent="0.25">
      <c r="A6" s="32" t="s">
        <v>19</v>
      </c>
      <c r="B6" s="10" t="s">
        <v>91</v>
      </c>
      <c r="C6" s="45">
        <f>2923.57+43.27+1137639.44+57001.23+245243.17+12420.44</f>
        <v>1455271.1199999999</v>
      </c>
      <c r="D6" s="50">
        <f t="shared" ref="D6:D36" si="0">C6/12/11891</f>
        <v>10.198687522776329</v>
      </c>
    </row>
    <row r="7" spans="1:4" ht="16.5" customHeight="1" x14ac:dyDescent="0.25">
      <c r="A7" s="32" t="s">
        <v>20</v>
      </c>
      <c r="B7" s="10" t="s">
        <v>164</v>
      </c>
      <c r="C7" s="45">
        <f>230072.94+20200.12+39270.85+3956.08</f>
        <v>293499.99</v>
      </c>
      <c r="D7" s="50">
        <f t="shared" si="0"/>
        <v>2.0568776805987721</v>
      </c>
    </row>
    <row r="8" spans="1:4" ht="16.5" customHeight="1" x14ac:dyDescent="0.25">
      <c r="A8" s="32" t="s">
        <v>60</v>
      </c>
      <c r="B8" s="10" t="s">
        <v>89</v>
      </c>
      <c r="C8" s="45">
        <f>112747.38+5283.97+253715.33+11885.35</f>
        <v>383632.02999999997</v>
      </c>
      <c r="D8" s="50">
        <f t="shared" si="0"/>
        <v>2.6885321531690631</v>
      </c>
    </row>
    <row r="9" spans="1:4" ht="16.5" customHeight="1" x14ac:dyDescent="0.25">
      <c r="A9" s="32" t="s">
        <v>61</v>
      </c>
      <c r="B9" s="10" t="s">
        <v>163</v>
      </c>
      <c r="C9" s="45">
        <f>17293.74+2081.22</f>
        <v>19374.960000000003</v>
      </c>
      <c r="D9" s="50">
        <f t="shared" si="0"/>
        <v>0.13578168362627199</v>
      </c>
    </row>
    <row r="10" spans="1:4" ht="16.5" customHeight="1" x14ac:dyDescent="0.25">
      <c r="A10" s="32" t="s">
        <v>62</v>
      </c>
      <c r="B10" s="10" t="s">
        <v>92</v>
      </c>
      <c r="C10" s="45">
        <f>876938.13+45196.5</f>
        <v>922134.63</v>
      </c>
      <c r="D10" s="50">
        <f t="shared" si="0"/>
        <v>6.4624129593810453</v>
      </c>
    </row>
    <row r="11" spans="1:4" ht="16.5" customHeight="1" x14ac:dyDescent="0.25">
      <c r="A11" s="32" t="s">
        <v>63</v>
      </c>
      <c r="B11" s="10" t="s">
        <v>162</v>
      </c>
      <c r="C11" s="45">
        <f>78226.98+83789.49+9381.15</f>
        <v>171397.62</v>
      </c>
      <c r="D11" s="50">
        <f t="shared" si="0"/>
        <v>1.2011718947102852</v>
      </c>
    </row>
    <row r="12" spans="1:4" ht="16.5" customHeight="1" x14ac:dyDescent="0.25">
      <c r="A12" s="32" t="s">
        <v>64</v>
      </c>
      <c r="B12" s="10" t="s">
        <v>90</v>
      </c>
      <c r="C12" s="45">
        <f>317470.38+13963.87</f>
        <v>331434.25</v>
      </c>
      <c r="D12" s="50">
        <f t="shared" si="0"/>
        <v>2.3227248198917949</v>
      </c>
    </row>
    <row r="13" spans="1:4" ht="16.5" customHeight="1" x14ac:dyDescent="0.25">
      <c r="A13" s="32" t="s">
        <v>65</v>
      </c>
      <c r="B13" s="10" t="s">
        <v>145</v>
      </c>
      <c r="C13" s="45">
        <f>3676.09+700.82</f>
        <v>4376.91</v>
      </c>
      <c r="D13" s="50">
        <f t="shared" si="0"/>
        <v>3.0673828946261878E-2</v>
      </c>
    </row>
    <row r="14" spans="1:4" ht="16.5" customHeight="1" x14ac:dyDescent="0.25">
      <c r="A14" s="32" t="s">
        <v>165</v>
      </c>
      <c r="B14" s="10" t="s">
        <v>4</v>
      </c>
      <c r="C14" s="45">
        <f>710164.76+38179.35</f>
        <v>748344.11</v>
      </c>
      <c r="D14" s="50">
        <f t="shared" si="0"/>
        <v>5.2444713789140245</v>
      </c>
    </row>
    <row r="15" spans="1:4" s="16" customFormat="1" ht="16.5" customHeight="1" x14ac:dyDescent="0.3">
      <c r="A15" s="15">
        <v>2</v>
      </c>
      <c r="B15" s="12" t="s">
        <v>166</v>
      </c>
      <c r="C15" s="44">
        <f>4795173.44+639951.91</f>
        <v>5435125.3500000006</v>
      </c>
      <c r="D15" s="50">
        <f t="shared" si="0"/>
        <v>38.089909385249349</v>
      </c>
    </row>
    <row r="16" spans="1:4" ht="18" customHeight="1" x14ac:dyDescent="0.25">
      <c r="A16" s="11">
        <v>3</v>
      </c>
      <c r="B16" s="10" t="s">
        <v>180</v>
      </c>
      <c r="C16" s="46">
        <f>97.92+17892.45</f>
        <v>17990.37</v>
      </c>
      <c r="D16" s="50">
        <f t="shared" si="0"/>
        <v>0.12607833655705997</v>
      </c>
    </row>
    <row r="17" spans="1:4" ht="43.5" customHeight="1" x14ac:dyDescent="0.25">
      <c r="A17" s="11">
        <v>4</v>
      </c>
      <c r="B17" s="10" t="s">
        <v>181</v>
      </c>
      <c r="C17" s="46">
        <f>C5+C15+C16</f>
        <v>9782581.3399999999</v>
      </c>
      <c r="D17" s="50">
        <f t="shared" si="0"/>
        <v>68.557321643820259</v>
      </c>
    </row>
    <row r="18" spans="1:4" ht="16.5" customHeight="1" x14ac:dyDescent="0.25">
      <c r="A18" s="11">
        <v>5</v>
      </c>
      <c r="B18" s="10" t="s">
        <v>122</v>
      </c>
      <c r="C18" s="46">
        <f>88723.44+678.67</f>
        <v>89402.11</v>
      </c>
      <c r="D18" s="50">
        <f t="shared" si="0"/>
        <v>0.62653904914080683</v>
      </c>
    </row>
    <row r="19" spans="1:4" ht="30" customHeight="1" x14ac:dyDescent="0.25">
      <c r="A19" s="11">
        <v>6</v>
      </c>
      <c r="B19" s="10" t="s">
        <v>182</v>
      </c>
      <c r="C19" s="70">
        <f>255473.93-208933.47</f>
        <v>46540.459999999992</v>
      </c>
      <c r="D19" s="50">
        <f t="shared" si="0"/>
        <v>0.32616026126201886</v>
      </c>
    </row>
    <row r="20" spans="1:4" s="16" customFormat="1" ht="16.5" customHeight="1" x14ac:dyDescent="0.3">
      <c r="A20" s="15">
        <v>5</v>
      </c>
      <c r="B20" s="53" t="s">
        <v>15</v>
      </c>
      <c r="C20" s="17">
        <f>C17+C18+C19</f>
        <v>9918523.9100000001</v>
      </c>
      <c r="D20" s="50">
        <f t="shared" si="0"/>
        <v>69.51002095422308</v>
      </c>
    </row>
    <row r="21" spans="1:4" s="16" customFormat="1" ht="16.5" customHeight="1" x14ac:dyDescent="0.3">
      <c r="A21" s="15">
        <v>6</v>
      </c>
      <c r="B21" s="12" t="s">
        <v>94</v>
      </c>
      <c r="C21" s="47">
        <f>SUM(C22:C27)</f>
        <v>1139000</v>
      </c>
      <c r="D21" s="50">
        <f t="shared" si="0"/>
        <v>7.9822274549379086</v>
      </c>
    </row>
    <row r="22" spans="1:4" ht="16.5" customHeight="1" x14ac:dyDescent="0.25">
      <c r="A22" s="32" t="s">
        <v>51</v>
      </c>
      <c r="B22" s="10" t="s">
        <v>59</v>
      </c>
      <c r="C22" s="52">
        <v>300000</v>
      </c>
      <c r="D22" s="50">
        <f t="shared" si="0"/>
        <v>2.1024304095534436</v>
      </c>
    </row>
    <row r="23" spans="1:4" ht="16.5" customHeight="1" x14ac:dyDescent="0.25">
      <c r="A23" s="32" t="s">
        <v>52</v>
      </c>
      <c r="B23" s="10" t="s">
        <v>146</v>
      </c>
      <c r="C23" s="46">
        <v>200000</v>
      </c>
      <c r="D23" s="50">
        <f t="shared" si="0"/>
        <v>1.4016202730356293</v>
      </c>
    </row>
    <row r="24" spans="1:4" ht="16.5" customHeight="1" x14ac:dyDescent="0.25">
      <c r="A24" s="32" t="s">
        <v>53</v>
      </c>
      <c r="B24" s="10" t="s">
        <v>6</v>
      </c>
      <c r="C24" s="46">
        <v>216000</v>
      </c>
      <c r="D24" s="50">
        <f t="shared" si="0"/>
        <v>1.5137498948784796</v>
      </c>
    </row>
    <row r="25" spans="1:4" ht="16.5" customHeight="1" x14ac:dyDescent="0.25">
      <c r="A25" s="32" t="s">
        <v>54</v>
      </c>
      <c r="B25" s="10" t="s">
        <v>12</v>
      </c>
      <c r="C25" s="46">
        <v>252000</v>
      </c>
      <c r="D25" s="50">
        <f t="shared" si="0"/>
        <v>1.7660415440248929</v>
      </c>
    </row>
    <row r="26" spans="1:4" ht="16.5" customHeight="1" x14ac:dyDescent="0.25">
      <c r="A26" s="32" t="s">
        <v>106</v>
      </c>
      <c r="B26" s="10" t="s">
        <v>105</v>
      </c>
      <c r="C26" s="46">
        <v>159000</v>
      </c>
      <c r="D26" s="50">
        <f t="shared" si="0"/>
        <v>1.1142881170633252</v>
      </c>
    </row>
    <row r="27" spans="1:4" ht="16.5" customHeight="1" x14ac:dyDescent="0.25">
      <c r="A27" s="32" t="s">
        <v>113</v>
      </c>
      <c r="B27" s="10" t="s">
        <v>5</v>
      </c>
      <c r="C27" s="46">
        <v>12000</v>
      </c>
      <c r="D27" s="50">
        <f t="shared" si="0"/>
        <v>8.4097216382137754E-2</v>
      </c>
    </row>
    <row r="28" spans="1:4" ht="16.5" customHeight="1" x14ac:dyDescent="0.25">
      <c r="A28" s="32" t="s">
        <v>156</v>
      </c>
      <c r="B28" s="10" t="s">
        <v>155</v>
      </c>
      <c r="C28" s="52">
        <v>141858</v>
      </c>
      <c r="D28" s="50">
        <f t="shared" si="0"/>
        <v>0.99415524346144146</v>
      </c>
    </row>
    <row r="29" spans="1:4" ht="30" customHeight="1" thickBot="1" x14ac:dyDescent="0.35">
      <c r="A29" s="59" t="s">
        <v>154</v>
      </c>
      <c r="B29" s="12" t="s">
        <v>157</v>
      </c>
      <c r="C29" s="61">
        <f>C21-C28</f>
        <v>997142</v>
      </c>
      <c r="D29" s="50">
        <f t="shared" si="0"/>
        <v>6.9880722114764673</v>
      </c>
    </row>
    <row r="30" spans="1:4" s="16" customFormat="1" ht="31.5" customHeight="1" thickTop="1" thickBot="1" x14ac:dyDescent="0.35">
      <c r="A30" s="15">
        <v>7</v>
      </c>
      <c r="B30" s="53" t="s">
        <v>95</v>
      </c>
      <c r="C30" s="54">
        <f>C20+C29</f>
        <v>10915665.91</v>
      </c>
      <c r="D30" s="60">
        <f t="shared" si="0"/>
        <v>76.498093165699544</v>
      </c>
    </row>
    <row r="31" spans="1:4" ht="16.5" customHeight="1" thickTop="1" x14ac:dyDescent="0.25">
      <c r="A31" s="11"/>
      <c r="B31" s="10" t="s">
        <v>7</v>
      </c>
      <c r="C31" s="48"/>
      <c r="D31" s="50"/>
    </row>
    <row r="32" spans="1:4" s="16" customFormat="1" ht="47.25" customHeight="1" x14ac:dyDescent="0.3">
      <c r="A32" s="15"/>
      <c r="B32" s="12" t="s">
        <v>178</v>
      </c>
      <c r="C32" s="69">
        <f>C15+C29</f>
        <v>6432267.3500000006</v>
      </c>
      <c r="D32" s="57"/>
    </row>
    <row r="33" spans="1:4" ht="25.5" customHeight="1" x14ac:dyDescent="0.3">
      <c r="A33" s="11"/>
      <c r="B33" s="12" t="s">
        <v>96</v>
      </c>
      <c r="C33" s="45"/>
      <c r="D33" s="50"/>
    </row>
    <row r="34" spans="1:4" ht="50.25" customHeight="1" x14ac:dyDescent="0.25">
      <c r="A34" s="32" t="s">
        <v>119</v>
      </c>
      <c r="B34" s="10" t="s">
        <v>66</v>
      </c>
      <c r="C34" s="45">
        <f>C15*0.2</f>
        <v>1087025.07</v>
      </c>
      <c r="D34" s="50">
        <f t="shared" si="0"/>
        <v>7.6179818770498695</v>
      </c>
    </row>
    <row r="35" spans="1:4" ht="31.5" customHeight="1" x14ac:dyDescent="0.25">
      <c r="A35" s="32" t="s">
        <v>120</v>
      </c>
      <c r="B35" s="10" t="s">
        <v>179</v>
      </c>
      <c r="C35" s="45">
        <f>C29*0.15</f>
        <v>149571.29999999999</v>
      </c>
      <c r="D35" s="50">
        <f t="shared" si="0"/>
        <v>1.04821083172147</v>
      </c>
    </row>
    <row r="36" spans="1:4" s="16" customFormat="1" ht="16.5" customHeight="1" x14ac:dyDescent="0.3">
      <c r="A36" s="15">
        <v>8</v>
      </c>
      <c r="B36" s="12" t="s">
        <v>97</v>
      </c>
      <c r="C36" s="44">
        <f>C34+C35</f>
        <v>1236596.3700000001</v>
      </c>
      <c r="D36" s="50">
        <f t="shared" si="0"/>
        <v>8.6661927087713408</v>
      </c>
    </row>
    <row r="37" spans="1:4" ht="16.5" customHeight="1" x14ac:dyDescent="0.25"/>
    <row r="38" spans="1:4" ht="16.5" customHeight="1" x14ac:dyDescent="0.25"/>
    <row r="39" spans="1:4" ht="16.5" customHeight="1" x14ac:dyDescent="0.25"/>
    <row r="40" spans="1:4" ht="16.5" customHeight="1" x14ac:dyDescent="0.25"/>
    <row r="41" spans="1:4" ht="16.5" customHeight="1" x14ac:dyDescent="0.25"/>
    <row r="42" spans="1:4" ht="16.5" customHeight="1" x14ac:dyDescent="0.25"/>
    <row r="43" spans="1:4" ht="16.5" customHeight="1" x14ac:dyDescent="0.25"/>
    <row r="44" spans="1:4" ht="16.5" customHeight="1" x14ac:dyDescent="0.25"/>
  </sheetData>
  <mergeCells count="3">
    <mergeCell ref="A1:D1"/>
    <mergeCell ref="A2:D2"/>
    <mergeCell ref="A3:D3"/>
  </mergeCell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начислено ИУ сод</vt:lpstr>
      <vt:lpstr>начислено ПУ</vt:lpstr>
      <vt:lpstr>оплачено ПУ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2017-04-10T19:05:52Z</cp:lastPrinted>
  <dcterms:created xsi:type="dcterms:W3CDTF">2013-03-25T11:46:54Z</dcterms:created>
  <dcterms:modified xsi:type="dcterms:W3CDTF">2018-04-02T07:23:27Z</dcterms:modified>
</cp:coreProperties>
</file>